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225" windowWidth="9720" windowHeight="7320" tabRatio="601" activeTab="1"/>
  </bookViews>
  <sheets>
    <sheet name="CDKT" sheetId="1" r:id="rId1"/>
    <sheet name="KQKD" sheetId="2" r:id="rId2"/>
    <sheet name="LCTT-TT" sheetId="3" r:id="rId3"/>
    <sheet name="TM" sheetId="4" r:id="rId4"/>
    <sheet name="CDKTCK" sheetId="5" r:id="rId5"/>
    <sheet name="KQKDCK" sheetId="6" r:id="rId6"/>
    <sheet name="00000000" sheetId="7" state="veryHidden" r:id="rId7"/>
  </sheets>
  <externalReferences>
    <externalReference r:id="rId10"/>
    <externalReference r:id="rId11"/>
    <externalReference r:id="rId12"/>
    <externalReference r:id="rId13"/>
    <externalReference r:id="rId14"/>
  </externalReferences>
  <definedNames>
    <definedName name="_Fill" hidden="1">#REF!</definedName>
    <definedName name="_xlnm.Print_Titles" localSheetId="0">'CDKT'!$1:$5</definedName>
    <definedName name="_xlnm.Print_Titles" localSheetId="2">'LCTT-TT'!$1:$7</definedName>
    <definedName name="_xlnm.Print_Titles" localSheetId="3">'TM'!$1:$5</definedName>
    <definedName name="TRISO">#REF!</definedName>
  </definedNames>
  <calcPr fullCalcOnLoad="1"/>
</workbook>
</file>

<file path=xl/comments3.xml><?xml version="1.0" encoding="utf-8"?>
<comments xmlns="http://schemas.openxmlformats.org/spreadsheetml/2006/main">
  <authors>
    <author>thehieu</author>
  </authors>
  <commentList>
    <comment ref="G15" authorId="0">
      <text>
        <r>
          <rPr>
            <b/>
            <sz val="8"/>
            <rFont val="Tahoma"/>
            <family val="0"/>
          </rPr>
          <t>chua bao gom thue gtgt khi ban tscd</t>
        </r>
        <r>
          <rPr>
            <sz val="8"/>
            <rFont val="Tahoma"/>
            <family val="0"/>
          </rPr>
          <t xml:space="preserve">
</t>
        </r>
      </text>
    </comment>
    <comment ref="I15" authorId="0">
      <text>
        <r>
          <rPr>
            <b/>
            <sz val="8"/>
            <rFont val="Tahoma"/>
            <family val="0"/>
          </rPr>
          <t>chua bao gom thue gtgt khi ban tscd</t>
        </r>
        <r>
          <rPr>
            <sz val="8"/>
            <rFont val="Tahoma"/>
            <family val="0"/>
          </rPr>
          <t xml:space="preserve">
</t>
        </r>
      </text>
    </comment>
    <comment ref="G17" authorId="0">
      <text>
        <r>
          <rPr>
            <b/>
            <sz val="8"/>
            <rFont val="Tahoma"/>
            <family val="0"/>
          </rPr>
          <t>chua dieu chinh chi phi lai vay</t>
        </r>
        <r>
          <rPr>
            <sz val="8"/>
            <rFont val="Tahoma"/>
            <family val="0"/>
          </rPr>
          <t xml:space="preserve">
</t>
        </r>
      </text>
    </comment>
    <comment ref="I17" authorId="0">
      <text>
        <r>
          <rPr>
            <b/>
            <sz val="8"/>
            <rFont val="Tahoma"/>
            <family val="0"/>
          </rPr>
          <t>chua dieu chinh chi phi lai vay</t>
        </r>
        <r>
          <rPr>
            <sz val="8"/>
            <rFont val="Tahoma"/>
            <family val="0"/>
          </rPr>
          <t xml:space="preserve">
</t>
        </r>
      </text>
    </comment>
  </commentList>
</comments>
</file>

<file path=xl/sharedStrings.xml><?xml version="1.0" encoding="utf-8"?>
<sst xmlns="http://schemas.openxmlformats.org/spreadsheetml/2006/main" count="638" uniqueCount="554">
  <si>
    <t>+ Coâng trình nhaø maùy Toaøn Thaéng Long Haäu</t>
  </si>
  <si>
    <t xml:space="preserve">+ Coâng trình nhaø maùy Ñoàng Taâm Ñoàng Thaùp </t>
  </si>
  <si>
    <t>+ Söûa chöõa TSCÑ</t>
  </si>
  <si>
    <t>+ Coå phieáu cuûa Coâng Ty Coå Phaàn Naêm Caên</t>
  </si>
  <si>
    <t>- Thueá khaùc</t>
  </si>
  <si>
    <t xml:space="preserve">- USD </t>
  </si>
  <si>
    <t>-  Giaûm voán trong kyø</t>
  </si>
  <si>
    <t>Thanh Bình, Huyeän Thanh Bình, tænh Ñoàng Thaùp. Haïn möùc tín duïng 40.000.000 ñoàng</t>
  </si>
  <si>
    <t>- Hình thöùc baûo ñaûm tieàn vay: Nhaø xöôûng hình thaønh trong töông lai thuoäc döï aùn vay goàm: maùy moùc thieát bò, nhaø xöôûng</t>
  </si>
  <si>
    <t>vaø quyeàn söû duïng ñaát</t>
  </si>
  <si>
    <t>Vay daøi haïn Ngaân haøng Ngoaïi Thöông - CN TP. Hoà Chí Minh theo HÑTD soá 0041/TD1/06CD</t>
  </si>
  <si>
    <t>- Mua trong kyø</t>
  </si>
  <si>
    <t>Vay ngaén haïn Ngaân haøng Ngoaïi Thöông - CN TP. Hoà Chí Minh theo HÑTD ngaén haïn soá 0376/KH/07NH, ngaøy 04/12/2007</t>
  </si>
  <si>
    <t>- Muïc ñích vay: Ñaàu tö maùy moùc thieát  bò nhaø maùy Kieân Giang. Vôùi haïn möùc tín duïng: 892.250.000 ñoàng</t>
  </si>
  <si>
    <t>- Hình thöùc baûo ñaûm tieàn vay: Theá chaáp maùy moùc theát bò ñaàu tö theâm</t>
  </si>
  <si>
    <t>- Taêng voán trong kyø naøy</t>
  </si>
  <si>
    <t>- Trích quyõ töø laõi naêm 2007</t>
  </si>
  <si>
    <t>Naêm 2008</t>
  </si>
  <si>
    <t xml:space="preserve">COÂNG TY COÅ PHAÀN THUÛY SAÛN SOÁ 4 </t>
  </si>
  <si>
    <t>31/12/2007</t>
  </si>
  <si>
    <t>01/01/2007</t>
  </si>
  <si>
    <t>V. 4</t>
  </si>
  <si>
    <t>5- Phaûi traû ngöôøi lao ñoäng</t>
  </si>
  <si>
    <t>5- Phaûi traû daøi haïn khaùc</t>
  </si>
  <si>
    <t>4. Coå phieáu quyõ</t>
  </si>
  <si>
    <t>Naêm 2007</t>
  </si>
  <si>
    <t>VI.28</t>
  </si>
  <si>
    <t>- Laõi loã töø hoaït ñoäng ñaàu tö</t>
  </si>
  <si>
    <t>II. LÖU CHUYEÅN TIEÀN TÖØ HOAÏT ÑOÄNG ÑAÀU TÖ</t>
  </si>
  <si>
    <t>5- Tieàn chi ñaàu tö goùp voán vaøo caùc ñôn vò khaùc</t>
  </si>
  <si>
    <t>III. LÖU CHUYEÅN TIEÀN TÖØ HOAÏT ÑOÄNG TAØI CHÍNH</t>
  </si>
  <si>
    <t>5- Coå töùc lôïi nhuaän ñaõ traû cho chuû sôû höõu</t>
  </si>
  <si>
    <t>Thaønh laäp: Coâng ty Coå Phaàn Thuûy Saûn Soá 4 ñöôïc thaønh laäp theo giaáy chöùng nhaän ñaêng kyù kinh doanh soá 4103000436 (ñaêng kyù thay ñoåi laàn 4 ngaøy 15 thaùng 8 naêm 2006) do Sôû Keá hoaïch vaø Ñaàu tö Thaønh phoá Hoà Chí Minh caáp ngaøy 31 thaùng 5 naêm 2001. )</t>
  </si>
  <si>
    <t>Truï sôû chính ñaët taïi: 320 Höng Phuù - Quaän 8 - Tp.HCM.</t>
  </si>
  <si>
    <t>Naêm 2006, Coâng Ty thaønh laäp Chi Nhaùnh taïi Kieân Giaùng hoïat ñoäng theo giaáy chöùng nhaän ñaêng kyù hoaït ñoäng chi nhaùnh soá 56-13-000547 ngaøy 30 thaùng 5 naêm 2006 do Sôû Keá hoaïch vaø Ñaàu tö Tænh Kieân Giang caáp.</t>
  </si>
  <si>
    <t>Ñòa chæ chi nhaùnh: Khu Coâng Nghieäp caûng caù Taéc Caäu, aáp Minh Phong, xaõ Bình An, huyeän Chaâu Thaønh, tænh Kieân Giang.</t>
  </si>
  <si>
    <t>Nguyeân taéc ghi nhaän: Ñöôïc ghi nhaän theo giaù goác. Giaù goác haøng toàn kho bao goàm chi phí mua, chi phí cheá bieán vaø caùc chi phí lieân quan tröïc tieáp khaùc phaùt sinh ñeå coù ñöôïc haøng toàn kho ôû ñòa ñieåm vaø traïng thaùi hieän taïi.</t>
  </si>
  <si>
    <t>Nguyeân taéc ghi nhaän TSCÑ höõu hình: laø toaøn boä caùc chi phí maø doanh nghieäp boû ra ñeå coù taøi saûn coá ñònh tính ñeán thôøi ñieåm ñöa taøi saûn ñoù vaøo traïng thaùi saün saøng söû duïng. Caùc chi phí phaùt sinh sau ghi nhaän ban ñaàu chæ ñöôïc ghi taêng nguyeân giaù taøi saûn coá ñònh neáu caùc chi phí naøy chaéc chaén laøm taêng lôïi ích kinh teá trong töông lai do söû duïng taøi saûn ñoù. Caùc chi phí khoâng thoûa maïn ñieàu kieän treân ñöôïc ghi nhaän laø chi phí trong kyø.</t>
  </si>
  <si>
    <t>Phöông phaùp khaáu hao TSCÑ: Khaáu hao ñöôïc tính döïa treân nguyeân giaù cuûa taøi saûn coá ñònh vaø theo phöông phaùp khaáu hao ñöôøng thaúng. Tyû leä khaáu hao haøng naêm döa treân möùc ñoä höõu duïng döï tính cuûa TSCÑ phuø hôïp vôùi quyeát ñònh soá 206/2003/QÑ-BTC ban haønh ngaøy 12/12/2003 cuûa Boä Taøi Chính (möùc khaáu hao gaáp hai laàn möùc khaáu hao theo phöông phaùp ñöôøng thaúng.)</t>
  </si>
  <si>
    <t>- Döï phoøng toån thaát cho caùc khoaûn ñaàu tö taøi chính vaøo caùc toå chöùc kinh khaùc khi caùc toå chöùc kinh teá naøy bò loã (tröù tröôøng hôïp loã theo keá hoaïch ñaõ ñöôïc xaùc ñònh trong phöông aùn kinh doanh tröôùc khi ñaàu tö). Vôùi möùc trích laäp töông öùng vôùi tæ leä goùp voán cuûa Coâng Ty trong caùc toå chöùc kinh teá naøy.</t>
  </si>
  <si>
    <t>Chi phí phaûi traû ñöôïc ghi nhaän döïa treän caùc öôùc tính hôïp lyù veà soá tieàn phaûi traû cho caùc haøng hoùa, dòch vuï ñaõ söû duïng trong kyø nhöng chöa coù hoaù ñôn, chöùng töø.</t>
  </si>
  <si>
    <t>Quyõ döï phoøng trôï caáp maát vieäc khoâng trích laäp, thöïc teà phaùt sinh seõ ñöôïc haïch toaùn vaøo chi phí trong nieân ñoä.</t>
  </si>
  <si>
    <t>- Nguyeân taéc ghi nhaän voán ñaàu tö cuûa chuû sôû höõu, thaêng dö voán coå phaàn: ñöôïc ghi nhaän theo soá thöïc teá ñaõ daàu tö goùp voán cuûa caùc coå ñoâng.</t>
  </si>
  <si>
    <t>Doanh thu baùn thaønh phaåm, haøng hoùa ñöôïc ghi nhaän khi phaàn lôùn ruûi ro vaø lôïi ích gaén lieàn vôùi quyeàn sôû höõu saûn phaåm, haøng hoùa ñöïoc chuyeån giao cho ngöôøi mua vaø khoâng coøn toàn taïi yeáu toá khoâng chaéc chaén ñaùng keå lieân quan ñeán vieäc thanh toaùn tieàn, chi phí keøm theo hoaëc khaû naêng baùn haøng bò traû laïi.</t>
  </si>
  <si>
    <t xml:space="preserve"> Coâng Ty coù nghóa vuï noäp thueá thu nhaäp doanh nghieäp vôùi thueá suaát thueá laø 20% treân thu nhaäp chòu thueá. Naêm 2007 Coâng Ty tieáp tuïc ñöôïc mieãn giaûm 50% thueá TNDN phaûi noäp.</t>
  </si>
  <si>
    <t xml:space="preserve"> Chi nhaùnh ñaët taïi Kieân Giang: Thueá suaát thueá TNDN phaûi noäp laø 15%. Döï aùn ñaàu tö saûn xuaát naøy ñöôïc mieãn thueá TNDN 100% trong 4 naêm baét ñaàu tính töø naêm 2007, mieãn giaûm 50% thueá TNDN trong 3 naêm tieáp theo.</t>
  </si>
  <si>
    <t>Tieàn vaø caùc khoaûn töông ñöông tieàn</t>
  </si>
  <si>
    <t>- Thueá thu nhaäp doanh nghieäp noäp thöøa</t>
  </si>
  <si>
    <t>- Thueá  xuaát nhaäp khaåu</t>
  </si>
  <si>
    <t>- Thueá  khaùc</t>
  </si>
  <si>
    <t>Nhaø xöôûng, vaät kieán truùc</t>
  </si>
  <si>
    <t>Maùy moùc thieát bò</t>
  </si>
  <si>
    <t>Duïng cuï quaûn lyù</t>
  </si>
  <si>
    <t>Phöông tieän vaän taûi</t>
  </si>
  <si>
    <t xml:space="preserve">- Ñieàu chuyeån </t>
  </si>
  <si>
    <t>- Chuyeån 242</t>
  </si>
  <si>
    <t xml:space="preserve">* Giaù trò coøn laïi cuoái naêm cuûa TSCÑ höõu hình ñaõ duøng ñeå theá chaáp, caàm coá caùc khoaûn vay laø:  </t>
  </si>
  <si>
    <t>+ Coâng trình  Chung cö - cao oác Beán Vaân Ñoàn</t>
  </si>
  <si>
    <t>Ñaàu tö daøi haïn khaùc</t>
  </si>
  <si>
    <t>- Ñaàu tö daøi haïn khaùc</t>
  </si>
  <si>
    <t>- Chi phí thaønh laäp Chi nhaùnh</t>
  </si>
  <si>
    <t>- Chi phí söûa chöõa phaân xöôûng, TSCÑ chuyeån CCDC…</t>
  </si>
  <si>
    <t>Vay ngaén haïn</t>
  </si>
  <si>
    <t>- Ngaân haøng Ngoaïi Thöông</t>
  </si>
  <si>
    <t>- VND</t>
  </si>
  <si>
    <t>- Ngaân haøng Ñaàu Tö  &amp; Phaùt Trieån Tænh Kieân Giang</t>
  </si>
  <si>
    <t>- USD 245,800.00</t>
  </si>
  <si>
    <t>+ Thu tieàn mua coå phieáu CB CNV</t>
  </si>
  <si>
    <t>Voán ñaàu tö cuûa chuû sôû höõu</t>
  </si>
  <si>
    <t>Thaëng dö voán    coà phaàn</t>
  </si>
  <si>
    <t>Quyõ ñaàu tö    phaùt trieån</t>
  </si>
  <si>
    <t>Soá dö cuoái naêm tröôùc.      Soá dö ñaàu naêm nay</t>
  </si>
  <si>
    <t>-  Laõi trong naêm nay (*)</t>
  </si>
  <si>
    <t>- Trích quyõ KT&amp;PL töø laõi 2006</t>
  </si>
  <si>
    <t>(*) Lôïi nhuaän ñaït ñöôïc cuûa nieân ñoä 2007 seõ ñöôïc phaân chia caùc quyõ vaø coå töùc cho caùc coå ñoâng theo Quyeát ñònh cuûa Bieân baûn hoïp Ñaïi hoäi coå ñoâng höôøng nieân naêm 2008.</t>
  </si>
  <si>
    <t>+ Voán goùp giaûm trong naêm</t>
  </si>
  <si>
    <t xml:space="preserve">* Meänh giaù coå phieáu ñang löu haønh: </t>
  </si>
  <si>
    <t>- Doanh thu baùn thaønh phaåm</t>
  </si>
  <si>
    <t>- Doanh thu khaùc</t>
  </si>
  <si>
    <t>- Giaûm giaù haøng baùn</t>
  </si>
  <si>
    <t xml:space="preserve">Doanh thu thuaàn veà baùn haøng vaø cung caáp dòch vu </t>
  </si>
  <si>
    <t>- Doanh thu thuaàn khaùc</t>
  </si>
  <si>
    <t>- Giaù voán vaät tö ñaõ cung caáp</t>
  </si>
  <si>
    <t>- Thu tieàn phaït do chaäm traû tieàn haøng</t>
  </si>
  <si>
    <t>- Khaùc</t>
  </si>
  <si>
    <t xml:space="preserve">7. </t>
  </si>
  <si>
    <t>Nhöõng thoâng tin khaùc.</t>
  </si>
  <si>
    <t xml:space="preserve">- Khi thanh lí moät khoaûn ñaàu tö phaàn cheânh leäch giöõa giaù trò thanh lí thuaàn vaø giaù trò ghi soå ñöôc haïch toaùn vaøo thu nhaäp hay chi phí trong kyø. </t>
  </si>
  <si>
    <t xml:space="preserve">- Nguyeân taéc xaùc ñònh caùc khoaûn töông ñöông tieàn: phaûn aùnh caùc khoaûn ñaàu tö ngaén haïn coù thu hoài hoaëc ñaùo haïn khoâng quaù 3 thaùng keå töø ngaøy mua, deã daøng chuyeån ñoåi thaønh moät löôïng tieàn xaùc ñònh cuõng nhö khoâng coù nhieàu ruûi ro trong vieäc chuyeån ñoåi. </t>
  </si>
  <si>
    <t>Nguyeân taéc ghi nhaän taøi saûn coá ñònh höõu hình vaø khaáu hao taøi saûn coá ñònh höõu hình</t>
  </si>
  <si>
    <t>Soá dö cuoái naêm nay</t>
  </si>
  <si>
    <t xml:space="preserve">Taêng, giaûm taøi saûn coá ñònh höõu hình  </t>
  </si>
  <si>
    <t>- Toång chi phí thueá TNDN hieän haønh</t>
  </si>
  <si>
    <t>- Chi phí thueá TNDN phaûi noäp</t>
  </si>
  <si>
    <t xml:space="preserve">7- Phaûi traû caùc ñôn vò noäi boä </t>
  </si>
  <si>
    <t>8- Phaûi traû theo tieán ñoä hôïp ñoàng xaây döïng</t>
  </si>
  <si>
    <t>- Taêng khaùc</t>
  </si>
  <si>
    <t>- Thueá thu nhaäp doanh nghieäp</t>
  </si>
  <si>
    <t xml:space="preserve">- Thueá nhaø ñaát </t>
  </si>
  <si>
    <t xml:space="preserve">- Tieàn thueâ ñaát </t>
  </si>
  <si>
    <t>Voán chuû sôû höõu</t>
  </si>
  <si>
    <t xml:space="preserve">Chi tieát voán ñaàu tö cuûa chuû sôûõ höõu </t>
  </si>
  <si>
    <t xml:space="preserve">Doanh thu hoaït ñoäng taøi chính </t>
  </si>
  <si>
    <t xml:space="preserve">Giaù voán haøng baùn </t>
  </si>
  <si>
    <t xml:space="preserve">25. </t>
  </si>
  <si>
    <t>- Laõi tieàn göûi</t>
  </si>
  <si>
    <t xml:space="preserve">27. </t>
  </si>
  <si>
    <t>Chi phí saûn xuaát kinh doanh theo yeáu toá</t>
  </si>
  <si>
    <t>- Chi phí nhaân coâng</t>
  </si>
  <si>
    <t xml:space="preserve">28. </t>
  </si>
  <si>
    <t>Nhöõng thoâng tin khaùc</t>
  </si>
  <si>
    <t xml:space="preserve">3. Nguoàn kinh phí ñaõ hình thaønh taøi saûn coá ñònh </t>
  </si>
  <si>
    <t xml:space="preserve">1- Tieàn </t>
  </si>
  <si>
    <t>2- Caùc khoaûn töông ñöông tieàn</t>
  </si>
  <si>
    <t>1- Phaûi thu cuûa khaùch haøng</t>
  </si>
  <si>
    <t xml:space="preserve">2- Traû tröôùc cho ngöôøi baùn </t>
  </si>
  <si>
    <t>5- Caùc khoaûn phaûi thu khaùc</t>
  </si>
  <si>
    <t>1- Haøng toàn kho</t>
  </si>
  <si>
    <t>1- Chi phí traû tröôùc ngaén haïn</t>
  </si>
  <si>
    <t>1- Taøi saûn coá ñònh höõu hình</t>
  </si>
  <si>
    <t>2- Taøi saûn coá ñònh thueâ taøi chính</t>
  </si>
  <si>
    <t>3- Taøi saûn coá ñònh voâ hình</t>
  </si>
  <si>
    <t>+ Sôû Taøi Chaùnh hoã trôï di dôøi nhaø xöôûng</t>
  </si>
  <si>
    <t>4- Chi phí xaây döng cô baûn dôû dang</t>
  </si>
  <si>
    <t>2- Ñaàu tö vaøo coâng ty lieân keát, lieân doanh</t>
  </si>
  <si>
    <t>3- Ñaàu tö daøi haïn khaùc</t>
  </si>
  <si>
    <t>1- Vay vaø nôï ngaén haïn</t>
  </si>
  <si>
    <t>2- Phaûi traû cho ngöôøi baùn</t>
  </si>
  <si>
    <t>3- Ngöôøi mua traû tieàn tröôùc</t>
  </si>
  <si>
    <t>4- Thueá vaø caùc khoaûn phaûi noäp Nhaø nöôùc</t>
  </si>
  <si>
    <t>6- Chi phí phaûi traû</t>
  </si>
  <si>
    <t>9- Caùc khoaûn phaûi traû, phaûi noäp khaùc</t>
  </si>
  <si>
    <t xml:space="preserve">33. </t>
  </si>
  <si>
    <t>1- Phaûi traû daøi haïn ngöôøi baùn</t>
  </si>
  <si>
    <t>4- Vay vaø nôï daøi haïn</t>
  </si>
  <si>
    <t>1- Voán ñaàu tö cuûa chuû sôû höõu</t>
  </si>
  <si>
    <t xml:space="preserve">6- Quyõ ñaàu tö phaùt trieån </t>
  </si>
  <si>
    <t>7- Quyõ döï phoøng taøi chính</t>
  </si>
  <si>
    <t>9- Lôïi nhuaän chöa phaân phoái</t>
  </si>
  <si>
    <t>1- Quyõ khen thöôûng vaø phuùc lôïi</t>
  </si>
  <si>
    <t>1- Doanh thu baùn haøng vaø cung caáp dòch vuï</t>
  </si>
  <si>
    <t>3- Doanh thu thuaàn veà baùn haøng vaø cung caáp dòch vuï</t>
  </si>
  <si>
    <t xml:space="preserve">5- Lôïi nhuaän goäp veà baùn haøng vaø cung caáp dòch vuï </t>
  </si>
  <si>
    <t>6- Doanh thu hoaït ñoäng taøi chính</t>
  </si>
  <si>
    <t>8- Chi phí baùn haøng</t>
  </si>
  <si>
    <t>9- Chi phí quaûn lyù doanh nghieäp</t>
  </si>
  <si>
    <t xml:space="preserve">10- Lôïi nhuaän thuaàn töø hoaït ñoäng kinh doanh </t>
  </si>
  <si>
    <t>11- Thu nhaäp khaùc</t>
  </si>
  <si>
    <t>12- Chi phí khaùc</t>
  </si>
  <si>
    <t>Lónh vöïc kinh doanh: Saûn xuaát kinh doanh.</t>
  </si>
  <si>
    <t xml:space="preserve">4. </t>
  </si>
  <si>
    <t>Ñôn vò tieàn teä söû duïng trong keá toaùn vaø laäp baùo caùo taøi chính: Vieät Nam ñoàng.</t>
  </si>
  <si>
    <t xml:space="preserve">Tuyeân boá veà vieäc tuaân thuû Chuaån möïc keá toaùn vaø cheá ñoä keá toaùn Vieät Nam: </t>
  </si>
  <si>
    <t>18.</t>
  </si>
  <si>
    <t>4- Giaù voán haøng baùn</t>
  </si>
  <si>
    <t>13- Lôïi nhuaän khaùc</t>
  </si>
  <si>
    <t>14- Toång lôïi nhuaän keá toaùn tröôùc thueá</t>
  </si>
  <si>
    <t xml:space="preserve">- Voán ñaàu tö cuûa chuû sôû höõu </t>
  </si>
  <si>
    <r>
      <t>2.</t>
    </r>
    <r>
      <rPr>
        <sz val="10"/>
        <rFont val="VNI-Helve-Condense"/>
        <family val="0"/>
      </rPr>
      <t xml:space="preserve"> </t>
    </r>
  </si>
  <si>
    <r>
      <t xml:space="preserve">Nguyeân taéc xaùc ñònh caùc khoaûn tieàn: </t>
    </r>
    <r>
      <rPr>
        <sz val="10"/>
        <rFont val="VNI-Helve-Condense"/>
        <family val="0"/>
      </rPr>
      <t>tieàn maët, tieàn göûi ngaân haøng, tieàn ñang chuyeån goàm:</t>
    </r>
  </si>
  <si>
    <r>
      <t xml:space="preserve">* </t>
    </r>
    <r>
      <rPr>
        <i/>
        <sz val="10"/>
        <rFont val="VNI-Helve-Condense"/>
        <family val="0"/>
      </rPr>
      <t>Muïc ñích trích laäp caùc quyõ ñaàu tö phaùt trieån, quyõ döï phoøng taøi chính:</t>
    </r>
  </si>
  <si>
    <t>Phöông phaùp keá toaùn haøng toàn kho</t>
  </si>
  <si>
    <t xml:space="preserve">Ñôn vò tính: VNÑ </t>
  </si>
  <si>
    <t>Maãu soá B03- DN</t>
  </si>
  <si>
    <t>Maãu soá B09- DN</t>
  </si>
  <si>
    <t>Coâng Ty tuaân thuû chaáp haønh caùc chuaån möïc keá toaùn vaø cheá ñoä keá toaùn Vieät Nam hieän haønh vaø tuaân thuû caùc qui ñònh phaùp lí coù lieân quan.</t>
  </si>
  <si>
    <t>Khoaûn muïc</t>
  </si>
  <si>
    <t>- Nguyeân taéc vaø phöông phaùp chuyeån ñoåi caùc ñoàng tieàn khaùc ra ñoàng tieàn söû duïng trong keá toaùn: Nhöõng nghieäp vuï lieân quan ñeán caùc loaïi ngoaïi teä phaùt sinh trong naêm ñöôïc qui ñoåi sang ñoàng Vieät Nam theo tyû giaù bình quaân cuûa lieân ngaân haøng Nhaø Nöôùc taïi thôøi ñieåm phaùt sinh nghieäp vuï.</t>
  </si>
  <si>
    <t>431</t>
  </si>
  <si>
    <t xml:space="preserve">Quyõ döï phoøng        taøi chính </t>
  </si>
  <si>
    <t>- Caùc cheânh leäch phaùt sinh do quy ñoåi ngoaïi teä vaø ñaùnh giaù laïi soá dö caùc taøi khoaûn ngoaïi teä ñöôïc keát chuyeån vaøo laõi, loã cuûa nieân ñoä.</t>
  </si>
  <si>
    <t>01</t>
  </si>
  <si>
    <t>03</t>
  </si>
  <si>
    <t>04</t>
  </si>
  <si>
    <t>CHÆ TIEÂU</t>
  </si>
  <si>
    <t xml:space="preserve">BAÛNG CAÂN ÑOÁI KEÁ TOAÙN </t>
  </si>
  <si>
    <t>TAØI SAÛN</t>
  </si>
  <si>
    <t>TOÅNG COÄNG TAØI SAÛN</t>
  </si>
  <si>
    <t>NGUOÀN VOÁN</t>
  </si>
  <si>
    <t xml:space="preserve">A. NÔÏ PHAÛI TRAÛ </t>
  </si>
  <si>
    <t>TOÅNG COÄNG NGUOÀN VOÁN</t>
  </si>
  <si>
    <t>- Nguyeân giaù</t>
  </si>
  <si>
    <t xml:space="preserve">- Giaù trò hao moøn luõy keá </t>
  </si>
  <si>
    <t>5. Ngoaïi teä caùc loaïi (USD)</t>
  </si>
  <si>
    <t>B. VOÁN CHUÛ SÔÛ HÖÕU</t>
  </si>
  <si>
    <t xml:space="preserve">CHÆ TIEÂU </t>
  </si>
  <si>
    <t>I. Nôï ngaén haïn</t>
  </si>
  <si>
    <t>II. Nôï daøi haïn</t>
  </si>
  <si>
    <t>I. Nguoàn voán quyõ</t>
  </si>
  <si>
    <t>II. Nguoàn kinh phí, quyõ khaùc</t>
  </si>
  <si>
    <t>II. Caùc khoaûn ñaàu tö taøi chính ngaén haïn</t>
  </si>
  <si>
    <t>III. Caùc khoaûn phaûi thu</t>
  </si>
  <si>
    <t>IV. Haøng toàn kho</t>
  </si>
  <si>
    <t>CAÙC CHÆ TIEÂU NGOAØI BAÛNG CAÂN ÑOÁI KEÁ TOAÙN</t>
  </si>
  <si>
    <t>Maõ soá</t>
  </si>
  <si>
    <t xml:space="preserve">BAÙO CAÙO LÖU CHUYEÅN TIEÀN TEÄ  </t>
  </si>
  <si>
    <t>Löu chuyeån tieàn thuaàn töø hoaït ñoäng kinh doanh</t>
  </si>
  <si>
    <t xml:space="preserve">1. Ñaàu tö chöùng khoaùn ngaén haïn </t>
  </si>
  <si>
    <t>02</t>
  </si>
  <si>
    <t>06</t>
  </si>
  <si>
    <t>THUYEÁT MINH BAÙO CAÙO TAØI CHÍNH</t>
  </si>
  <si>
    <t>1.</t>
  </si>
  <si>
    <t>Ñaëc ñieåm hoaït ñoäng cuûa doanh nghieäp</t>
  </si>
  <si>
    <t>Cheá ñoä keá toaùn aùp duïng taïi doanh nghieäp</t>
  </si>
  <si>
    <t>3.</t>
  </si>
  <si>
    <t>4.</t>
  </si>
  <si>
    <t>5.</t>
  </si>
  <si>
    <t>Maãu soá B01- DN</t>
  </si>
  <si>
    <t>Thuyeát minh</t>
  </si>
  <si>
    <t>A. TAØI SAÛN NGAÉN HAÏN</t>
  </si>
  <si>
    <t>I. Tieàn vaø caùc khoaûn töông töông tieàn</t>
  </si>
  <si>
    <t>- Phaûi thu khaùch haøng</t>
  </si>
  <si>
    <t xml:space="preserve">Nguyeân giaù TSCÑ höõu hình </t>
  </si>
  <si>
    <t>Giaù trò hao moøn luõy keá</t>
  </si>
  <si>
    <t>Giaù trò coøn laïi cuûa TSCÑ höõu hình</t>
  </si>
  <si>
    <t>- Thueá xuaát nhaäp khaåu</t>
  </si>
  <si>
    <t>- Chi phí khaáu hao</t>
  </si>
  <si>
    <t xml:space="preserve">- Chi phí dòch vuï mua ngoaøi </t>
  </si>
  <si>
    <t xml:space="preserve">- Chi phí khaùc baèng tieàn </t>
  </si>
  <si>
    <t>+ Chi phí laõi tieàn vay vöôït möùc khoáng cheá</t>
  </si>
  <si>
    <t>+ Chi phí khoâng coù hoaù ñôn chöùng töø theo quy ñònh</t>
  </si>
  <si>
    <t>+ Caùc khoaûn thueá bò truy thu</t>
  </si>
  <si>
    <t xml:space="preserve">- Lôïi nhuaän sau thueá TNDN </t>
  </si>
  <si>
    <t>Keá toaùn tröôûng</t>
  </si>
  <si>
    <t>- Kinh phí coâng ñoaøn</t>
  </si>
  <si>
    <t>V. Taøi saûn ngaén haïn khaùc</t>
  </si>
  <si>
    <t>B. TAØI SAÛN DAØI HAÏN</t>
  </si>
  <si>
    <t>I. Caùc khoaûn phaûi thu daøi haïn</t>
  </si>
  <si>
    <t>II. Taøi saûn coá ñònh</t>
  </si>
  <si>
    <t>III. Baát ñoäng saûn ñaàu tö</t>
  </si>
  <si>
    <t>IV. Caùc khoaûn ñaàu tö taøi chính daøi  haïn</t>
  </si>
  <si>
    <t>V. Taøi saûn daøi haïn khaùc</t>
  </si>
  <si>
    <t>1. Chi phí traû tröôùc daøi haïn</t>
  </si>
  <si>
    <t>2. Thaëng dö voán coå phaàn</t>
  </si>
  <si>
    <t xml:space="preserve">2. Döï phoøng giaûm giaù chöùng khoaùn ñaàu tö ngaén haïn </t>
  </si>
  <si>
    <t>3. Phaûi thu noäi boä</t>
  </si>
  <si>
    <t xml:space="preserve">4. Phaûi thu theo tieán ñoä keá hoaïch hôïp ñoàng xaây döïng </t>
  </si>
  <si>
    <t>6. Döï phoøng caùc khoaûn phaûi thu khoù ñoøi</t>
  </si>
  <si>
    <t xml:space="preserve">2. Döï phoøng giaûm giaù haøng toàn kho </t>
  </si>
  <si>
    <t>1. Phaûi thu daøi haïn cuûa khaùch haøng</t>
  </si>
  <si>
    <t xml:space="preserve">2. Phaûi thu noäi boä daøi haïn </t>
  </si>
  <si>
    <t xml:space="preserve">4. Döï phoøng caùc khoaûn phaûi thu khoù ñoøi </t>
  </si>
  <si>
    <t>3. Phaûi thu daøi haïn khaùc</t>
  </si>
  <si>
    <t>1. Ñaàu tö vaøo coâng ty con</t>
  </si>
  <si>
    <t xml:space="preserve">4. Döï phoøng giaûm giaù chöùng khoaùn ñaàu tö daøi haïn </t>
  </si>
  <si>
    <t>2. Taøi saûn thueá thu nhaäp hoaõn laïi</t>
  </si>
  <si>
    <t>3. Taøi saûn daøi haïn khaùc</t>
  </si>
  <si>
    <t xml:space="preserve">2. Phaûi traû daøi haïn noäi boä </t>
  </si>
  <si>
    <t>Maãu soá B02- DN</t>
  </si>
  <si>
    <t>10</t>
  </si>
  <si>
    <t>I.</t>
  </si>
  <si>
    <t xml:space="preserve">II. </t>
  </si>
  <si>
    <t>Nieân ñoä keá toaùn, ñôn vò tieàn teä söû duïng trong keá toaùn</t>
  </si>
  <si>
    <t>Cheá ñoä keá toaùn aùp duïng:</t>
  </si>
  <si>
    <t>2.</t>
  </si>
  <si>
    <t xml:space="preserve">III. </t>
  </si>
  <si>
    <t>IV.</t>
  </si>
  <si>
    <t>Caùc chính saùch keá toaùn aùp duïng:</t>
  </si>
  <si>
    <t>V.1</t>
  </si>
  <si>
    <t>V.3</t>
  </si>
  <si>
    <t>3- Thueá vaø caùc khoaûn khaùc phaûi thu Nhaø nöôùc</t>
  </si>
  <si>
    <t xml:space="preserve">2- Thueá GTGT ñöôc khaáu tröø </t>
  </si>
  <si>
    <t>4- Taøi saûn ngaén haïn khaùc</t>
  </si>
  <si>
    <t>154</t>
  </si>
  <si>
    <t>V.8</t>
  </si>
  <si>
    <t>V.11</t>
  </si>
  <si>
    <t>V.13</t>
  </si>
  <si>
    <t>V.15</t>
  </si>
  <si>
    <t>V.16</t>
  </si>
  <si>
    <t>V.17</t>
  </si>
  <si>
    <t>V.18</t>
  </si>
  <si>
    <t>V.20</t>
  </si>
  <si>
    <t>V.22</t>
  </si>
  <si>
    <t>Thoâng tin boå sung cho caùc khoaûn muïc trình baøy trong Baûng Caân Ñoái Keá Toaùn</t>
  </si>
  <si>
    <t xml:space="preserve">V. </t>
  </si>
  <si>
    <t>VI.27</t>
  </si>
  <si>
    <t>Nguyeân taéc ghi nhaän caùc khoaûn ñaàu tö taøi chính</t>
  </si>
  <si>
    <t>10.</t>
  </si>
  <si>
    <t>Nguyeân taéc ghi nhaän voán chuû sôû höõu</t>
  </si>
  <si>
    <t xml:space="preserve">Nguyeân taéc ghi nhaän doanh thu: </t>
  </si>
  <si>
    <t>Phaûi thu khaùch haøng vaø traû tröôùc cho ngöôøi baùn</t>
  </si>
  <si>
    <t>Caùc khoaûn phaûi thu ngaén haïn khaùc</t>
  </si>
  <si>
    <t xml:space="preserve">- Taïm öùng </t>
  </si>
  <si>
    <t xml:space="preserve">- Kyù quyõ, kyù cöôïc ngaén haïn </t>
  </si>
  <si>
    <t>- Phaûi thu khaùc</t>
  </si>
  <si>
    <t>Thueá vaø caùc khoaûn phaûi noäp Nhaø nöôùc</t>
  </si>
  <si>
    <t xml:space="preserve">- Baûo hieåm y teá </t>
  </si>
  <si>
    <t>- Baûo hieåm xaõ hoäi</t>
  </si>
  <si>
    <t>22.</t>
  </si>
  <si>
    <t>VI.30</t>
  </si>
  <si>
    <t>VI.25</t>
  </si>
  <si>
    <t>29.</t>
  </si>
  <si>
    <t>VIII.</t>
  </si>
  <si>
    <t>Thoâng tin boå sung cho caùc khoaûn muïc trình baøy trong Baùo Caùo Keát Quaû Hoaït Ñoäng Kinh Doanh</t>
  </si>
  <si>
    <t xml:space="preserve">BAÙO CAÙO KEÁT QUAÛ HOAÏT ÑOÄNG KINH DOANH </t>
  </si>
  <si>
    <t>VI.</t>
  </si>
  <si>
    <t xml:space="preserve">Coäng </t>
  </si>
  <si>
    <t xml:space="preserve">Haøng toàn kho </t>
  </si>
  <si>
    <t>Coäng giaù goác haøng toàn kho</t>
  </si>
  <si>
    <t>Toång Coäng</t>
  </si>
  <si>
    <t>8.</t>
  </si>
  <si>
    <t>11.</t>
  </si>
  <si>
    <t xml:space="preserve">Khoaûn muïc </t>
  </si>
  <si>
    <t>16.</t>
  </si>
  <si>
    <t xml:space="preserve">- Tieàn maët </t>
  </si>
  <si>
    <t xml:space="preserve">- Tieàn göûi ngaân haøng </t>
  </si>
  <si>
    <t>- Caùc khoaûn töông ñöông tieàn</t>
  </si>
  <si>
    <t xml:space="preserve">- Nguyeân lieäu, vaät lieäu </t>
  </si>
  <si>
    <t xml:space="preserve">- Thaønh phaåm </t>
  </si>
  <si>
    <t xml:space="preserve">                      Keá toaùn tröôûng</t>
  </si>
  <si>
    <t xml:space="preserve">                              Keá toaùn tröôûng</t>
  </si>
  <si>
    <t>Ghi nhaän chi phí phaûi traû</t>
  </si>
  <si>
    <t>9.</t>
  </si>
  <si>
    <t>Nguyeân taéc vaø phöông phaùp ghi nhaän caùc khoaûn döï phoøng phaûi traû.</t>
  </si>
  <si>
    <t>Nieân ñoä keá toaùn: baét ñaàu töø ngaøy 01 thaùng 01 keát thuùc vaøo ngaøy 31 thaùng 12.</t>
  </si>
  <si>
    <t>Caùc khoaûn phaûi traû, phaûi noäp ngaén haïn khaùc</t>
  </si>
  <si>
    <t>Caùc giao dòch veà voán vôùi caùc chuû sôû höõu vaø phaân phoái coå töùc, chia lôïi nhuaän</t>
  </si>
  <si>
    <t>+ Voán goùp ñaàu naêm</t>
  </si>
  <si>
    <t>+ Voán goùp cuoái naêm</t>
  </si>
  <si>
    <t>- Chi phí nguyeân lieäu, vaät lieäu</t>
  </si>
  <si>
    <t>b-</t>
  </si>
  <si>
    <t>a-</t>
  </si>
  <si>
    <t>c-</t>
  </si>
  <si>
    <t>d-</t>
  </si>
  <si>
    <t>e-</t>
  </si>
  <si>
    <t>+ Phuï caáp ban kieåm soaùt</t>
  </si>
  <si>
    <t>17- Lôïi nhuaän sau thueá TNDN</t>
  </si>
  <si>
    <t>16- Chi phí thueá TNDN hoaõn laïi</t>
  </si>
  <si>
    <t>VI.26</t>
  </si>
  <si>
    <t>7- Chi phí taøi chính</t>
  </si>
  <si>
    <t>15- Chi phí thueá TNDN hieän haønh</t>
  </si>
  <si>
    <t xml:space="preserve">  Toång lôïi nhuaän keá toaùn chòu thueá TNDN</t>
  </si>
  <si>
    <t>Chi phí thueá TNDN hieän haønh</t>
  </si>
  <si>
    <t>13.</t>
  </si>
  <si>
    <t>Nguyeân taéc vaø phöông phaùp ghi nhaän chi phí thueá thu nhaäp doanh nghieäp hieän haønh</t>
  </si>
  <si>
    <t>V.5</t>
  </si>
  <si>
    <t>Hình thöùc sôû höõu voán: Coâng ty coå phaàn.</t>
  </si>
  <si>
    <t>Hình thöùc keá toaùn aùp duïng: Nhaât kyù chung.</t>
  </si>
  <si>
    <t xml:space="preserve">- Traû tröôùc cho ngöôøi baùn </t>
  </si>
  <si>
    <t xml:space="preserve">26. </t>
  </si>
  <si>
    <t>Caùc khoaûn giaûm tröø doanh thu</t>
  </si>
  <si>
    <t>- Haøng baùn bò traû laïi</t>
  </si>
  <si>
    <t xml:space="preserve">- Thueá TNCN </t>
  </si>
  <si>
    <t>Phöông phaùp laäp döï phoøng giaûm giaù haøng toàn kho: aùp duïng theo thoâng tö 13/TT-BTC ngaøy 27/02/2006 cuûa Boä Taøi Chính.</t>
  </si>
  <si>
    <t xml:space="preserve">* Nguyeân giaù TSCÑ cuoái kyø ñaõ khaáu hao heát nhöng vaãn coøn söû duïng:  </t>
  </si>
  <si>
    <t xml:space="preserve">Baûng ñoái chieáu bieán ñoäng voán chuû sôû höõu </t>
  </si>
  <si>
    <t xml:space="preserve">ñ- </t>
  </si>
  <si>
    <t>Coå phieáu:</t>
  </si>
  <si>
    <t>Caùc quyõ cuûa doanh nghieäp:</t>
  </si>
  <si>
    <t>Lôïi nhuaän sau thueá chöa phaân phoái</t>
  </si>
  <si>
    <t>Toång doanh thu baùn haøng vaø cung caáp dòch vuï (maõ soá 01)</t>
  </si>
  <si>
    <t>- Giaù voán thaønh phaåm ñaõ baùn</t>
  </si>
  <si>
    <t xml:space="preserve">Cheá ñoä keá toaùn Doanh nghieäp Vieät Nam ban haønh theo Quyeát Ñònh soá 15/2006/QÑ-BTC ngaøy 20/3/2006 cuûa Boä Taøi Chính. </t>
  </si>
  <si>
    <t>Ngaønh ngheà kinh doanh: Thu mua, cheá bieán caùc maët haøng thuûy haûi saûn, noâng saûn, thuûy haûi saûn, suùc saûn. Kinh doanh xuaát nhaäp khaåu tröïc tieáp thuûy haûi saûn, noâng saûn, suùc saûn vaø caùc loaïi haøng hoùa, vaät tö, thieát bò, coâng ngheä phaåm phuïc vuï cho caùc nhu caàu saûn xuaát kinh doanh trong vaø ngoaøi ngaønh. Dòch vuï baûo trì, baûo döôõng söûa chöõa caùc thieát bò cô ñieän laïnh. Saûn xuaát kinh doanh caùc nghaønh ngheà khaùc theo qui ñònh cuûa phaùp luaät Vieät Nam. Kinh doanh nhaø; cho thueâ vaên phoøng. Saûn xuaát, gia coâng, mua baùn haøng may maëc (tröø taåy nhuoäm).</t>
  </si>
  <si>
    <t>1- Phaûi thu daøi haïn cuûa khaùch haøng</t>
  </si>
  <si>
    <t>1- Chi phí traû tröôùc daøi haïn</t>
  </si>
  <si>
    <t>V.14</t>
  </si>
  <si>
    <t>Toång Giaùm Ñoác</t>
  </si>
  <si>
    <t xml:space="preserve">3- Phaûi thu noäi boä ngaén haïn </t>
  </si>
  <si>
    <t>2- Caùc khoaûn giaûm tröø doanh thu</t>
  </si>
  <si>
    <t>Trong ñoù: Chi phí laõi vay</t>
  </si>
  <si>
    <t>+ Trôï caáp thoâi vieäc DNNN</t>
  </si>
  <si>
    <t>+ Toång Cty Thuûy Saûn Vieät Nam</t>
  </si>
  <si>
    <t>+ Thu hoaøn thueá</t>
  </si>
  <si>
    <t>+ CNV vay tieàn mua coå phieáu</t>
  </si>
  <si>
    <t>- Coâng cuï, duïng cuï</t>
  </si>
  <si>
    <t>- Chi phí SX, KD dôû dang</t>
  </si>
  <si>
    <t>(Theo phöông phaùp giaùn tieáp)</t>
  </si>
  <si>
    <t>+ Khaùc</t>
  </si>
  <si>
    <t>5- Taøi saûn ngaén haïn khaùc</t>
  </si>
  <si>
    <t>Chi phí xaây döïng cô baûn dôû dang</t>
  </si>
  <si>
    <t>- Toång chi phí xaây döïng cô baûn dôû dang:</t>
  </si>
  <si>
    <t>Chi phí traû tröôùc daøi haïn</t>
  </si>
  <si>
    <t>14.</t>
  </si>
  <si>
    <t>- Chieát khaáu boä chöùng töø xuaát haøng</t>
  </si>
  <si>
    <t>- BHXH, BHYT</t>
  </si>
  <si>
    <t>- Caùc khoaûn phaûi traû khaùc</t>
  </si>
  <si>
    <t>- Voán goùp cuûa Nhaø nöôùc</t>
  </si>
  <si>
    <t>- Voán goùp cuûa coå ñoâng trong nöôùc</t>
  </si>
  <si>
    <t>- Voán goùp cuûa coå ñoâng nöôùc ngoaøi</t>
  </si>
  <si>
    <t>- Thaëng dö voán coå phaàn</t>
  </si>
  <si>
    <t>+ Voán goùp taêng trong naêm</t>
  </si>
  <si>
    <t>- Coå töùc, lôïi nhuaän ñaõ chia</t>
  </si>
  <si>
    <t>Coå töùc</t>
  </si>
  <si>
    <t>Coå töùc ñaõ coâng boá sau ngaøy keát thuùc kyø keá toaùn naêm:</t>
  </si>
  <si>
    <t>+ Coå phieáu phoå thoâng</t>
  </si>
  <si>
    <t xml:space="preserve">- Nguyeân taéc ghi nhaän lôïi nhuaän chöa phaân phoái: ñöôïc trích laäp caùc quyõ vaø chia coå töùc cho caùc coå ñoâng theo quyeát ñònh cuûa Hoäi ñoàng quaûn trò vaø theo Ñieàu leä Coâng Ty.  </t>
  </si>
  <si>
    <t>Thueá vaø caùc khoaûn phaûi thu Nhaø nöôùc</t>
  </si>
  <si>
    <t>1- Lôïi nhuaän tröôùc thueá:</t>
  </si>
  <si>
    <t>2- Ñieàu chænh cho caùc khoaûn:</t>
  </si>
  <si>
    <t>- Khaáu hao taøi saûn coá ñònh</t>
  </si>
  <si>
    <t>- Caùc khoaûn döï phoøng</t>
  </si>
  <si>
    <t>- Chi phí laõi vay</t>
  </si>
  <si>
    <t>3- Lôïi nhuaän töø hoaït ñoäng kinh doanh tröôùc nhöõng thay ñoåi voán löu ñoäng</t>
  </si>
  <si>
    <t>08</t>
  </si>
  <si>
    <t>- Taêng giaûm caùc khoaûn phaûi thu</t>
  </si>
  <si>
    <t>09</t>
  </si>
  <si>
    <t>- Taêng giaûm haøng toàn kho</t>
  </si>
  <si>
    <t xml:space="preserve">- Taêng giaûm caùc khoaûn phaûi traû </t>
  </si>
  <si>
    <t>- Taêng giaûm chi phí traû tröôùc</t>
  </si>
  <si>
    <t>- Tieàn laõi vay ñaõ traû</t>
  </si>
  <si>
    <t>- Thueá thu nhaäp ñaõ noäp</t>
  </si>
  <si>
    <t>- Tieàn thu khaùc töø hoaït ñoäng kinh doanh</t>
  </si>
  <si>
    <t>- Tieàn chi khaùc töø hoaït ñoäng kinh doanh</t>
  </si>
  <si>
    <t>1- Tieàn chi ñeå mua saém, xaây döïng TSCÑ</t>
  </si>
  <si>
    <t>2- Tieàn thu töø thanh lyù, nhöôïng baùn TSCÑ</t>
  </si>
  <si>
    <t>7- Tieàn thu laõi cho vay, coå töùc vaø lôïi nhuaän ñöôïc chia</t>
  </si>
  <si>
    <t>Löu chuyeån tieàn thuaàn töø hoaït ñoäng ñaàu tö</t>
  </si>
  <si>
    <t>1- Tieàn thu töø phaùt haønh coå phieáu, nhaän voán goùp cuûa chuû sôû höõu</t>
  </si>
  <si>
    <t>3- Tieàn vay ngaén haïn, daøi haïn nhaän ñöôïc</t>
  </si>
  <si>
    <t>4- Tieàn chi traû nôï goác vay</t>
  </si>
  <si>
    <t>Löu chuyeån tieàn thuaàn töø hoaït ñoäng taøi chính</t>
  </si>
  <si>
    <t>40</t>
  </si>
  <si>
    <t>Löu chuyeån tieàn thuaàn trong kì</t>
  </si>
  <si>
    <t>Tieàn vaø töông ñöông tieàn toàn ñaàu kì</t>
  </si>
  <si>
    <t>Aûnh höôûng cuûa thay ñoåi tyû giaù hoái ñoaùi quy ñoåi ngoaïi teä</t>
  </si>
  <si>
    <t>Tieàn vaø töông ñöông tieàn toàn cuoái kì</t>
  </si>
  <si>
    <t>Phöông phaùp xaùc ñònh giaù trò haøng hoùa toàn kho cuoái kyø: Bình quaân gia quyeàn.</t>
  </si>
  <si>
    <t>Phöông phaùp haïch toaùn haøng toàn kho: Keâ khai thöôøng xuyeân.</t>
  </si>
  <si>
    <t>Khi taøi saûn coá ñònh ñöôïc baùn hay thanh lyù, nguyeân giaù vaø khaáu hao luõy keá ñöôïc xoùa soå vaø baát kyø khoaûn laõi loã naøo phaùt sinh do vieäc thanh lyù ñeàu ñöôïc ñöa vaøo thu nhaäp hay chi phí trong kyø.</t>
  </si>
  <si>
    <t>15.</t>
  </si>
  <si>
    <t>Vay vaø nôï ngaén haïn</t>
  </si>
  <si>
    <t>- Quó ñaàu tö phaùt trieån ñöôïc duøng ñeå boå sung voán ñieàu leä cuûa Coâng Ty.</t>
  </si>
  <si>
    <t>- Thanh lyù, nhöôïng baùn</t>
  </si>
  <si>
    <t xml:space="preserve">- Toång thu nhaäp chòu thueá </t>
  </si>
  <si>
    <t>- Caùc khoaûn ñieàu chænh taêng hoaëc giaûm lôi nhuaän keá toaùn ñeå xaùc ñònh thu nhaäp chòu thueá.</t>
  </si>
  <si>
    <t>30.</t>
  </si>
  <si>
    <t xml:space="preserve">Chi phí taøi chính </t>
  </si>
  <si>
    <t>- Laõi tieàn vay</t>
  </si>
  <si>
    <t>- Chieát khaàu thanh toaùn</t>
  </si>
  <si>
    <t>- Doanh thu thuaàn trao ñoåi saûn phaåm, haøng hoaù</t>
  </si>
  <si>
    <t>- Doanh thu thuaàn trao ñoåi dòch vuï</t>
  </si>
  <si>
    <t>- Coå töùc, lôïi nhuaän ñöôïc chia</t>
  </si>
  <si>
    <t>- Loã do cheânh leäch tæ giaù ñaõ thöïc hieän</t>
  </si>
  <si>
    <t>- Nguyeân taéc ghi nhaän theo giaù goác.</t>
  </si>
  <si>
    <t>- Thueá GTGT haøng nhaäp khaåu</t>
  </si>
  <si>
    <t>- Thueá GTGT ñöôïc khaáu tröø</t>
  </si>
  <si>
    <t>- Vay mua coá phieáu traû chaäm (laâu naêm)</t>
  </si>
  <si>
    <t>- Vuõ Thò Tuyeát Phöông (laâu naêm)</t>
  </si>
  <si>
    <t>- Quó döï phoøng taøi chính ñöôïc duøng ñeå: Buø ñaép nhöõng toån thaát, thieät haïi veà taøi saûn, coâng nôï khoâng ñoøi ñöôïc xaûy ra trong quaù trình kinh doanh vaø nhöõng khoaûn loã cuûa Coâng ty theo Quyeát ñònh cuûa Hoäi ñoàng quaûn trò.</t>
  </si>
  <si>
    <t>- Doanh thu cung caáp dòch vuï</t>
  </si>
  <si>
    <t>- Laõi cheânh leäch tæ giaù ñaõ thöïc hieän</t>
  </si>
  <si>
    <t>- Laõi cheânh leäch tæ giaù chöa thöïc hieän</t>
  </si>
  <si>
    <t>- Soá löôïng coå phieáu ñaêng kyù phaùt haønh:</t>
  </si>
  <si>
    <t>- Soá löôïng coå phieáu ñaõ baùn ra coâng chuùng</t>
  </si>
  <si>
    <t>- Soá löôïng coå phieáu ñang löu haønh</t>
  </si>
  <si>
    <t>+ Coå töùc ñaõ coâng boá treân coå phieáu phoå thoâng:</t>
  </si>
  <si>
    <t xml:space="preserve">  Chi phí thueá TNDN phaûi noäp</t>
  </si>
  <si>
    <t>- Chi phí thueá TNDN ñöôïc mieãn giaûm</t>
  </si>
  <si>
    <t xml:space="preserve">Caùc khoaûn ñaàu tö vaøo coâng ty lieân keát, voán goùp vaøo cô sôû kinh doanh ñoàng kieåm soaùt: </t>
  </si>
  <si>
    <t>- Söûa chöõa TSCÑ</t>
  </si>
  <si>
    <t>Naêm nay</t>
  </si>
  <si>
    <t>Naêm tröôùc</t>
  </si>
  <si>
    <t>Vay daøi haïn Ngaân haøng Ngoaïi Thöông - CN TP. Hoà Chí Minh theo HÑTD soá 0007TD1/08CD.</t>
  </si>
  <si>
    <t>- Muïc ñích vay: Ñaàu tö xaây döïng chung cö cao taàng taïi 331 Beán Vaân Ñoàn, Phöôùng, Quaän 4, TP. HCM</t>
  </si>
  <si>
    <t>haïn möùc tín duïng: 120.000.000.000 ñoàng</t>
  </si>
  <si>
    <t>- Hình thöùc baûo ñaûm tieàn vay: Theá chaáp quyeàn söû duïng ñaát vaø taøi saûn gaén lieàn vôùi ñaát hình thaønh trong töông lai</t>
  </si>
  <si>
    <t>thuoäc döï aùn</t>
  </si>
  <si>
    <t>- Muïc ñích vay: Boå sung voán löu ñoäng, chieát khaáu coù truy ñoøi chöùng töø haøng xuaát khaåu, baûo laõnh, phaùt haønh thö tín duïng</t>
  </si>
  <si>
    <t>haïn möùc tín duïng: 30.000.000.000 ñoàng</t>
  </si>
  <si>
    <t>Vay vaø nôï daøi haïn</t>
  </si>
  <si>
    <t>Vay daøi haïn</t>
  </si>
  <si>
    <t>- Ngaân haøng Ngoaïi Thöông CN TP.HCM</t>
  </si>
  <si>
    <t>- Vay ñaàu tö nhaø maùy Kieân Giang</t>
  </si>
  <si>
    <t>- Vay ñaàu tö nhaø maùy Ñoàng Taâm</t>
  </si>
  <si>
    <t>- Vay ñaàu tö  xaây chung cö</t>
  </si>
  <si>
    <t>Vay daøi haïn Ngaân haøng Ngoaïi Thöông - CN TP. Hoà Chí Minh theo HÑTD soá 0035/TD1/07CD.</t>
  </si>
  <si>
    <t>- Muïc ñích vay: Ñaàu tö xaây döïng nhaø maùy cheá bíeân thuyû saûn xuùaât khaåu Ñoàng Taâm taïi cuïm Coâng Nghieäp Thanh Bình, xaõ</t>
  </si>
  <si>
    <t>-  Thu nhaäp chòu thueá naêm hieän haønh</t>
  </si>
  <si>
    <t>Luyõ keá töø ñaàu naêm</t>
  </si>
  <si>
    <t>6- Tieàn thu hoài  ñaàu tö goùp voán vaøo caùc ñôn vò khaùc</t>
  </si>
  <si>
    <t>Luyõ keá töø ñaàu naêm ñeán cuoái quyù naøy</t>
  </si>
  <si>
    <t xml:space="preserve">           Keá toaùn tröôûng</t>
  </si>
  <si>
    <t>-  Chia coå töùc cho coå ñoâng</t>
  </si>
  <si>
    <t>.</t>
  </si>
  <si>
    <t xml:space="preserve"> Giaùm Ñoác</t>
  </si>
  <si>
    <t>Taïi ngaøy ñaàu kyø</t>
  </si>
  <si>
    <t>Taïi ngaøy cuoái kyø</t>
  </si>
  <si>
    <t>Soá dö ñaàu kyø</t>
  </si>
  <si>
    <t>Soá dö cuoái kyø</t>
  </si>
  <si>
    <t>- Khaáu hao trong kyø</t>
  </si>
  <si>
    <t>Soá dö cuoái kyyø</t>
  </si>
  <si>
    <t>Nhaø maùy Ñoàng Taâm taïi Ñoàng Thaùp ñang tieán haønh xaây döïng nhaø xöôûng, khu phuï trôï döï kíeân hoaøn thaønh vaø ñi  vaøo hoaït ñoäng thaùng 06 naêm 2009</t>
  </si>
  <si>
    <t>Teân coâng ty: Coâng Ty Coå Phaàn Thuûy saûn Soá 4</t>
  </si>
  <si>
    <t>BAÙO CAÙO TAØI CHAÙNH TOÙM TAÉT</t>
  </si>
  <si>
    <t>STT</t>
  </si>
  <si>
    <t>Noäi dung</t>
  </si>
  <si>
    <t>I</t>
  </si>
  <si>
    <t>Taøi saûn ngaén haïn</t>
  </si>
  <si>
    <t>Caùc khoaûn ñaàu tö taøi chaùnh ngaén haïn</t>
  </si>
  <si>
    <t>Caùc khoaûn phaûi thu ngaén haïn</t>
  </si>
  <si>
    <t>Haøng toàn kho</t>
  </si>
  <si>
    <t>Taøi saûn löu ñoäng khaùc</t>
  </si>
  <si>
    <t>II</t>
  </si>
  <si>
    <t>Taøi saûn daøi haïn</t>
  </si>
  <si>
    <t>Taøi saûn coá ñònh</t>
  </si>
  <si>
    <t xml:space="preserve">     - TSCÑ höõu hình</t>
  </si>
  <si>
    <t xml:space="preserve">     -TSCÑ voâ hình</t>
  </si>
  <si>
    <t xml:space="preserve">     - TSCÑ thueâ taøi chính</t>
  </si>
  <si>
    <t xml:space="preserve">     - Chi phí XDCB dôû dang</t>
  </si>
  <si>
    <t>Baát ñoäng saûn ñaàu tö</t>
  </si>
  <si>
    <t>Caùc khoaûn ñaàu tö taøi chaùnh daøi haïn</t>
  </si>
  <si>
    <t>Taøi saûn daøi haïn khaùc</t>
  </si>
  <si>
    <t>III</t>
  </si>
  <si>
    <t>IV</t>
  </si>
  <si>
    <t>Nôï phaûi traû</t>
  </si>
  <si>
    <t>Nôï ngaén haïn</t>
  </si>
  <si>
    <t>Nôï daøi haïn</t>
  </si>
  <si>
    <t>V</t>
  </si>
  <si>
    <t xml:space="preserve">    - Voán ñaàu tö cuûa chuû sôû höõu</t>
  </si>
  <si>
    <t xml:space="preserve">    - Thaëng dö voán coå phaàn</t>
  </si>
  <si>
    <t xml:space="preserve">    - Voán khaùc cuûa chuû sôû höõu</t>
  </si>
  <si>
    <t xml:space="preserve">    - Coå phieáu quyõ</t>
  </si>
  <si>
    <t xml:space="preserve">    - Cheânh leäch ñaùnh giaù laïi taøi saûn</t>
  </si>
  <si>
    <t xml:space="preserve">    - Cheânh leäch tyû giaù hoái ñoaùi</t>
  </si>
  <si>
    <t xml:space="preserve">  </t>
  </si>
  <si>
    <t xml:space="preserve">    - Caùc quyõ</t>
  </si>
  <si>
    <t xml:space="preserve">    - Lôïi nhuaän sau thueá chöa phaân phoái</t>
  </si>
  <si>
    <t xml:space="preserve">    - Nguoàn voán ñaàu tö XDCB</t>
  </si>
  <si>
    <t>Nguoàn kinh phí vaø quyõ khaùc</t>
  </si>
  <si>
    <t xml:space="preserve">    - Quyõ khen thöôûng vaø phuùc lôïi</t>
  </si>
  <si>
    <t xml:space="preserve">    - Nguoàn kinh phí</t>
  </si>
  <si>
    <t xml:space="preserve">    - Nguoàn kinh phí ñaõ hình thaønh TSCÑ</t>
  </si>
  <si>
    <t>VI</t>
  </si>
  <si>
    <t>KEÁT QUAÛ HOAÏT ÑOÄNG KINH DOANH</t>
  </si>
  <si>
    <t xml:space="preserve">Luõy keá töø ñaàu naêm </t>
  </si>
  <si>
    <t>Doanh thu baùn haøng vaø cung caáp dòch vuï</t>
  </si>
  <si>
    <t>Doanh thu thuaàn veà baùn haøng vaø cung caáp dòch vuï</t>
  </si>
  <si>
    <t>LN goäp veà baùn haøng vaø cung caáp dòch vuï</t>
  </si>
  <si>
    <t>Doanh thu hoaït ñoäng taøi chính</t>
  </si>
  <si>
    <t>Chi phí taøi chính</t>
  </si>
  <si>
    <t>Chi phí baùn haøng</t>
  </si>
  <si>
    <t>Chi phí quaûn lyù doanh nghieäp</t>
  </si>
  <si>
    <t>Lôïi nhuaän thuaàn töø hoaït ñoäng kinh doanh</t>
  </si>
  <si>
    <t>Thu nhaäp khaùc</t>
  </si>
  <si>
    <t xml:space="preserve">Chi phí khaùc </t>
  </si>
  <si>
    <t>Lôïi nhuaän khaùc</t>
  </si>
  <si>
    <t>Toång lôïi nhuaän keá toaùn tröôùc thueá</t>
  </si>
  <si>
    <t>Thueá thu nhaäp doanh nghieäp (*)</t>
  </si>
  <si>
    <t>Lôïi nhuaän sau thueá thu nhaäp doanh nhgieäp</t>
  </si>
  <si>
    <t>Laõi cô baûn treân coå phieáu</t>
  </si>
  <si>
    <t>Coå töùc treân moãi coå phieáu</t>
  </si>
  <si>
    <r>
      <t xml:space="preserve">    Ghi chuù:  (*)   Naêm 2008 CN coâng ty taïi Kieân Giang ñuôïc mieãn</t>
    </r>
    <r>
      <rPr>
        <b/>
        <sz val="11"/>
        <rFont val="VNI-Times"/>
        <family val="0"/>
      </rPr>
      <t xml:space="preserve"> thueá thu nhaäp doanh nghieäp</t>
    </r>
    <r>
      <rPr>
        <sz val="11"/>
        <rFont val="VNI-Times"/>
        <family val="0"/>
      </rPr>
      <t xml:space="preserve"> . </t>
    </r>
  </si>
  <si>
    <t>Quyù 04 naêm 2008</t>
  </si>
  <si>
    <t>31/12/2008</t>
  </si>
  <si>
    <t>Quý 04 năm 2008</t>
  </si>
  <si>
    <t>Quyù 04</t>
  </si>
  <si>
    <t>Ngaøy 15 thaùng 01 naêm 2009</t>
  </si>
  <si>
    <t>Trong quyù 04 naêm 2008, döï aùn vaên phoøng laøm vieäc vaø caên hoä chung cö taïi Beán Vaân Ñoàn, Phöôøng 1, Quaän 4, TP. HCM ñaõ xaây döïng phaàn haàm, döï kíeân quyù 01 naêm 2009 tieán haønh xaây döïng phaàn thaân.</t>
  </si>
  <si>
    <t>Quyù 4 naêm 2008</t>
  </si>
  <si>
    <t>Trong ñoù: Lôiï nhuaän tröôùc thuùeâ: - Nhaø maùy taïi TP. HCM laø: (2.533.127.699) VNÑ, ñaõ trích laäp döï phoøng nôï khoù ñoøi laø: 500.000.000 VNÑ  theo Nghò Quyeát Ñaïi Hoäi Coå ñoâng naêm 2007</t>
  </si>
  <si>
    <t xml:space="preserve">                                            - Nhaø maùy taïi Kieân Giang laø: 4.782.165.313 VNÑ</t>
  </si>
  <si>
    <t>Lôïi nhuaän quyù 04 naêm 2008 giaûm so vôùi quyù 3 naêm 2008 laø 53,30% , do naêm nay toâm caøng maát muøa, vaø coâng ty cuõng bò aûnh höôûng chung bôûi neàn kinh teá trong giai ñoaïn hieän nay.</t>
  </si>
  <si>
    <t>Khoaûn nôï khoâng khaû naêng thu hoài phaùt sinh töø cuoái naêm 2001, coâng ty ñaõ laäp döï phoøng tieáp 500.000.000 VNÑ  tính vaøo chi phí trong kyø theo Quyùeât ñònh cuûa Ñaïi Hoäi coå ñoâng thöôøng nieân naêm 2007. Soá tieàn coøn laïi: 2.013.071.944 VNÑ seõ tieáp tuïc tính vaøo chi phí caùc naêm tieáp theo</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</si>
</sst>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0_);_(* \(#.##0.00\);_(* &quot;-&quot;??_);_(@_)"/>
    <numFmt numFmtId="167" formatCode="_(* #,##0.00_);_(* \(#,##0.00\);_(* &quot;-&quot;_);_(@_)"/>
    <numFmt numFmtId="168" formatCode="0#"/>
    <numFmt numFmtId="169" formatCode="&quot;\&quot;#,##0;[Red]&quot;\&quot;\-#,##0"/>
    <numFmt numFmtId="170" formatCode="&quot;\&quot;#,##0.00;[Red]&quot;\&quot;\-#,##0.00"/>
    <numFmt numFmtId="171" formatCode="\$#,##0\ ;\(\$#,##0\)"/>
    <numFmt numFmtId="172" formatCode="&quot;\&quot;#,##0;[Red]&quot;\&quot;&quot;\&quot;\-#,##0"/>
    <numFmt numFmtId="173" formatCode="&quot;\&quot;#,##0.00;[Red]&quot;\&quot;&quot;\&quot;&quot;\&quot;&quot;\&quot;&quot;\&quot;&quot;\&quot;\-#,##0.00"/>
    <numFmt numFmtId="174" formatCode="_(* #,##0.0_);_(* \(#,##0.0\);_(* &quot;-&quot;??_);_(@_)"/>
    <numFmt numFmtId="175" formatCode="#,##0.000"/>
    <numFmt numFmtId="176" formatCode="0.0"/>
    <numFmt numFmtId="177" formatCode="0.00_);\(0.00\)"/>
    <numFmt numFmtId="178" formatCode="_(* #,##0.0_);_(* \(#,##0.0\);_(* &quot;-&quot;_);_(@_)"/>
    <numFmt numFmtId="179" formatCode="_(* #,##0.000_);_(* \(#,##0.000\);_(* &quot;-&quot;_);_(@_)"/>
    <numFmt numFmtId="180" formatCode="_(* #,##0.0000_);_(* \(#,##0.0000\);_(* &quot;-&quot;_);_(@_)"/>
    <numFmt numFmtId="181" formatCode="_(* #,##0.00000_);_(* \(#,##0.00000\);_(* &quot;-&quot;_);_(@_)"/>
    <numFmt numFmtId="182" formatCode="[$-409]dddd\,\ dd\ mmmm\,\ yyyy"/>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409]dddd\,\ mmmm\ dd\,\ yyyy"/>
  </numFmts>
  <fonts count="46">
    <font>
      <sz val="11"/>
      <name val="VNI-Times"/>
      <family val="0"/>
    </font>
    <font>
      <sz val="12"/>
      <name val="Vni-times"/>
      <family val="0"/>
    </font>
    <font>
      <sz val="12"/>
      <name val="新細明體"/>
      <family val="1"/>
    </font>
    <font>
      <sz val="10"/>
      <name val="MS Sans Serif"/>
      <family val="0"/>
    </font>
    <font>
      <sz val="10"/>
      <name val="Arial"/>
      <family val="2"/>
    </font>
    <font>
      <u val="single"/>
      <sz val="10"/>
      <color indexed="36"/>
      <name val="Arial"/>
      <family val="0"/>
    </font>
    <font>
      <b/>
      <sz val="18"/>
      <name val="Arial"/>
      <family val="2"/>
    </font>
    <font>
      <b/>
      <sz val="12"/>
      <name val="Arial"/>
      <family val="2"/>
    </font>
    <font>
      <u val="single"/>
      <sz val="10"/>
      <color indexed="12"/>
      <name val="Arial"/>
      <family val="0"/>
    </font>
    <font>
      <sz val="14"/>
      <name val="뼻뮝"/>
      <family val="3"/>
    </font>
    <font>
      <sz val="12"/>
      <name val="뼻뮝"/>
      <family val="1"/>
    </font>
    <font>
      <sz val="12"/>
      <name val="바탕체"/>
      <family val="1"/>
    </font>
    <font>
      <sz val="10"/>
      <name val="굴림체"/>
      <family val="3"/>
    </font>
    <font>
      <b/>
      <sz val="11"/>
      <name val="VNI-Helve-Condense"/>
      <family val="0"/>
    </font>
    <font>
      <sz val="10"/>
      <name val="VNI-Helve-Condense"/>
      <family val="0"/>
    </font>
    <font>
      <b/>
      <sz val="10"/>
      <color indexed="8"/>
      <name val="VNI-Helve-Condense"/>
      <family val="0"/>
    </font>
    <font>
      <sz val="10"/>
      <color indexed="8"/>
      <name val="VNI-Helve-Condense"/>
      <family val="0"/>
    </font>
    <font>
      <b/>
      <sz val="10"/>
      <name val="VNI-Helve-Condense"/>
      <family val="0"/>
    </font>
    <font>
      <sz val="10"/>
      <name val="VNI-Times"/>
      <family val="0"/>
    </font>
    <font>
      <sz val="8"/>
      <name val="Tahoma"/>
      <family val="0"/>
    </font>
    <font>
      <b/>
      <sz val="8"/>
      <name val="Tahoma"/>
      <family val="0"/>
    </font>
    <font>
      <sz val="11"/>
      <name val="VNI-Helve-Condense"/>
      <family val="0"/>
    </font>
    <font>
      <b/>
      <i/>
      <sz val="11"/>
      <name val="VNI-Helve-Condense"/>
      <family val="0"/>
    </font>
    <font>
      <i/>
      <sz val="11"/>
      <name val="VNI-Helve-Condense"/>
      <family val="0"/>
    </font>
    <font>
      <sz val="11"/>
      <color indexed="10"/>
      <name val="VNI-Helve-Condense"/>
      <family val="0"/>
    </font>
    <font>
      <u val="single"/>
      <sz val="10"/>
      <name val="VNI-Helve-Condense"/>
      <family val="0"/>
    </font>
    <font>
      <b/>
      <i/>
      <sz val="10"/>
      <name val="VNI-Helve-Condense"/>
      <family val="0"/>
    </font>
    <font>
      <sz val="10"/>
      <color indexed="10"/>
      <name val="VNI-Helve-Condense"/>
      <family val="0"/>
    </font>
    <font>
      <i/>
      <sz val="10"/>
      <name val="VNI-Helve-Condense"/>
      <family val="0"/>
    </font>
    <font>
      <b/>
      <sz val="10"/>
      <color indexed="10"/>
      <name val="VNI-Helve-Condense"/>
      <family val="0"/>
    </font>
    <font>
      <i/>
      <sz val="10"/>
      <color indexed="8"/>
      <name val="VNI-Helve-Condense"/>
      <family val="0"/>
    </font>
    <font>
      <i/>
      <sz val="10"/>
      <color indexed="10"/>
      <name val="VNI-Helve-Condense"/>
      <family val="0"/>
    </font>
    <font>
      <i/>
      <sz val="10"/>
      <name val="VNI-Times"/>
      <family val="0"/>
    </font>
    <font>
      <b/>
      <i/>
      <sz val="10"/>
      <name val="VNI-Times"/>
      <family val="0"/>
    </font>
    <font>
      <b/>
      <sz val="13"/>
      <name val="VNI-Helve-Condense"/>
      <family val="0"/>
    </font>
    <font>
      <i/>
      <sz val="11"/>
      <color indexed="10"/>
      <name val="VNI-Helve-Condense"/>
      <family val="0"/>
    </font>
    <font>
      <sz val="10"/>
      <color indexed="10"/>
      <name val="VNI-Times"/>
      <family val="0"/>
    </font>
    <font>
      <i/>
      <sz val="9.5"/>
      <name val="VNI-Helve-Condense"/>
      <family val="0"/>
    </font>
    <font>
      <sz val="9.5"/>
      <name val="VNI-Helve-Condense"/>
      <family val="0"/>
    </font>
    <font>
      <sz val="8"/>
      <name val="VNI-Times"/>
      <family val="0"/>
    </font>
    <font>
      <b/>
      <sz val="10"/>
      <name val="VNI-Times"/>
      <family val="0"/>
    </font>
    <font>
      <b/>
      <sz val="18"/>
      <name val="VNI-Times"/>
      <family val="0"/>
    </font>
    <font>
      <b/>
      <sz val="12"/>
      <name val="VNI-Times"/>
      <family val="0"/>
    </font>
    <font>
      <b/>
      <sz val="14"/>
      <name val="VNI-Times"/>
      <family val="0"/>
    </font>
    <font>
      <b/>
      <sz val="11"/>
      <name val="VNI-Times"/>
      <family val="0"/>
    </font>
    <font>
      <b/>
      <sz val="8"/>
      <name val="VNI-Times"/>
      <family val="2"/>
    </font>
  </fonts>
  <fills count="3">
    <fill>
      <patternFill/>
    </fill>
    <fill>
      <patternFill patternType="gray125"/>
    </fill>
    <fill>
      <patternFill patternType="solid">
        <fgColor indexed="9"/>
        <bgColor indexed="64"/>
      </patternFill>
    </fill>
  </fills>
  <borders count="61">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double"/>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hair"/>
      <bottom>
        <color indexed="63"/>
      </bottom>
    </border>
    <border>
      <left>
        <color indexed="63"/>
      </left>
      <right>
        <color indexed="63"/>
      </right>
      <top style="medium"/>
      <bottom style="medium"/>
    </border>
    <border>
      <left>
        <color indexed="63"/>
      </left>
      <right>
        <color indexed="63"/>
      </right>
      <top style="hair"/>
      <bottom style="thin"/>
    </border>
    <border>
      <left style="medium"/>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medium"/>
      <right style="thin"/>
      <top style="hair"/>
      <bottom>
        <color indexed="63"/>
      </bottom>
    </border>
    <border>
      <left style="thin"/>
      <right style="thin"/>
      <top style="hair"/>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hair"/>
      <bottom style="medium"/>
    </border>
    <border>
      <left style="thin"/>
      <right style="medium"/>
      <top style="hair"/>
      <bottom style="medium"/>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color indexed="63"/>
      </left>
      <right style="thin"/>
      <top style="double"/>
      <bottom style="thin"/>
    </border>
    <border>
      <left style="thin"/>
      <right style="thin"/>
      <top style="double"/>
      <bottom style="thin"/>
    </border>
    <border>
      <left style="double"/>
      <right style="thin"/>
      <top style="thin"/>
      <bottom style="thin"/>
    </border>
    <border>
      <left>
        <color indexed="63"/>
      </left>
      <right style="thin"/>
      <top style="thin"/>
      <bottom style="thin"/>
    </border>
    <border>
      <left>
        <color indexed="63"/>
      </left>
      <right style="thin"/>
      <top style="thin"/>
      <bottom style="double"/>
    </border>
    <border>
      <left style="thin"/>
      <right style="thin"/>
      <top style="thin"/>
      <bottom style="double"/>
    </border>
    <border>
      <left style="medium"/>
      <right style="medium"/>
      <top style="medium"/>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4" fillId="0" borderId="0">
      <alignment/>
      <protection/>
    </xf>
    <xf numFmtId="9" fontId="0" fillId="0" borderId="0" applyFont="0" applyFill="0" applyBorder="0" applyAlignment="0" applyProtection="0"/>
    <xf numFmtId="0" fontId="4" fillId="0" borderId="1" applyNumberFormat="0" applyFont="0" applyFill="0" applyAlignment="0" applyProtection="0"/>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0" fontId="4" fillId="0" borderId="0" applyFont="0" applyFill="0" applyBorder="0" applyAlignment="0" applyProtection="0"/>
    <xf numFmtId="0" fontId="10" fillId="0" borderId="0">
      <alignment/>
      <protection/>
    </xf>
    <xf numFmtId="0" fontId="2" fillId="0" borderId="0">
      <alignment/>
      <protection/>
    </xf>
    <xf numFmtId="172" fontId="4" fillId="0" borderId="0" applyFont="0" applyFill="0" applyBorder="0" applyAlignment="0" applyProtection="0"/>
    <xf numFmtId="173" fontId="4"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0" fontId="12" fillId="0" borderId="0">
      <alignment/>
      <protection/>
    </xf>
    <xf numFmtId="0" fontId="4" fillId="0" borderId="0">
      <alignment/>
      <protection/>
    </xf>
  </cellStyleXfs>
  <cellXfs count="869">
    <xf numFmtId="0" fontId="0" fillId="0" borderId="0" xfId="0" applyAlignment="1">
      <alignment/>
    </xf>
    <xf numFmtId="0" fontId="4" fillId="0" borderId="0" xfId="46">
      <alignment/>
      <protection/>
    </xf>
    <xf numFmtId="0" fontId="0" fillId="0" borderId="0" xfId="0" applyAlignment="1" applyProtection="1">
      <alignment/>
      <protection hidden="1" locked="0"/>
    </xf>
    <xf numFmtId="0" fontId="14" fillId="0" borderId="0" xfId="0" applyFont="1" applyAlignment="1">
      <alignment/>
    </xf>
    <xf numFmtId="37" fontId="14" fillId="0" borderId="0" xfId="0" applyNumberFormat="1" applyFont="1" applyBorder="1" applyAlignment="1">
      <alignment/>
    </xf>
    <xf numFmtId="0" fontId="14" fillId="0" borderId="0" xfId="0" applyFont="1" applyAlignment="1">
      <alignment horizontal="justify" wrapText="1"/>
    </xf>
    <xf numFmtId="0" fontId="21" fillId="0" borderId="0" xfId="0" applyFont="1" applyAlignment="1">
      <alignment/>
    </xf>
    <xf numFmtId="164" fontId="21" fillId="0" borderId="0" xfId="15" applyNumberFormat="1" applyFont="1" applyBorder="1" applyAlignment="1">
      <alignment/>
    </xf>
    <xf numFmtId="164" fontId="13" fillId="0" borderId="0" xfId="15" applyNumberFormat="1" applyFont="1" applyBorder="1" applyAlignment="1">
      <alignment/>
    </xf>
    <xf numFmtId="0" fontId="21" fillId="0" borderId="0" xfId="0" applyFont="1" applyAlignment="1">
      <alignment horizontal="justify" vertical="center"/>
    </xf>
    <xf numFmtId="0" fontId="21" fillId="0" borderId="0" xfId="0" applyNumberFormat="1" applyFont="1" applyAlignment="1">
      <alignment horizontal="center"/>
    </xf>
    <xf numFmtId="0" fontId="13" fillId="0" borderId="0" xfId="0" applyNumberFormat="1" applyFont="1" applyAlignment="1">
      <alignment horizontal="center"/>
    </xf>
    <xf numFmtId="164" fontId="21" fillId="0" borderId="0" xfId="15" applyNumberFormat="1" applyFont="1" applyAlignment="1">
      <alignment/>
    </xf>
    <xf numFmtId="164" fontId="13" fillId="0" borderId="0" xfId="15" applyNumberFormat="1" applyFont="1" applyBorder="1" applyAlignment="1">
      <alignment horizontal="right"/>
    </xf>
    <xf numFmtId="164" fontId="21" fillId="0" borderId="0" xfId="15" applyNumberFormat="1" applyFont="1" applyBorder="1" applyAlignment="1">
      <alignment/>
    </xf>
    <xf numFmtId="164" fontId="23" fillId="0" borderId="0" xfId="15" applyNumberFormat="1" applyFont="1" applyBorder="1" applyAlignment="1">
      <alignment horizontal="centerContinuous" vertical="center"/>
    </xf>
    <xf numFmtId="164" fontId="13" fillId="0" borderId="0" xfId="15" applyNumberFormat="1" applyFont="1" applyFill="1" applyBorder="1" applyAlignment="1" quotePrefix="1">
      <alignment horizontal="right" vertical="center"/>
    </xf>
    <xf numFmtId="164" fontId="22" fillId="0" borderId="0" xfId="15" applyNumberFormat="1" applyFont="1" applyBorder="1" applyAlignment="1">
      <alignment/>
    </xf>
    <xf numFmtId="164" fontId="21" fillId="0" borderId="0" xfId="0" applyNumberFormat="1" applyFont="1" applyAlignment="1">
      <alignment/>
    </xf>
    <xf numFmtId="164" fontId="23" fillId="0" borderId="0" xfId="15" applyNumberFormat="1" applyFont="1" applyBorder="1" applyAlignment="1">
      <alignment/>
    </xf>
    <xf numFmtId="164" fontId="13" fillId="0" borderId="0" xfId="15" applyNumberFormat="1" applyFont="1" applyBorder="1" applyAlignment="1">
      <alignment/>
    </xf>
    <xf numFmtId="164" fontId="22" fillId="0" borderId="0" xfId="15" applyNumberFormat="1" applyFont="1" applyBorder="1" applyAlignment="1">
      <alignment/>
    </xf>
    <xf numFmtId="164" fontId="13" fillId="0" borderId="0" xfId="15" applyNumberFormat="1" applyFont="1" applyBorder="1" applyAlignment="1">
      <alignment vertical="center"/>
    </xf>
    <xf numFmtId="164" fontId="21" fillId="0" borderId="0" xfId="15" applyNumberFormat="1" applyFont="1" applyAlignment="1">
      <alignment vertical="center"/>
    </xf>
    <xf numFmtId="164" fontId="21" fillId="0" borderId="0" xfId="15" applyNumberFormat="1" applyFont="1" applyBorder="1" applyAlignment="1">
      <alignment vertical="center"/>
    </xf>
    <xf numFmtId="164" fontId="13" fillId="0" borderId="0" xfId="15" applyNumberFormat="1" applyFont="1" applyAlignment="1">
      <alignment horizontal="center" vertical="center"/>
    </xf>
    <xf numFmtId="0" fontId="21" fillId="0" borderId="0" xfId="0" applyFont="1" applyBorder="1" applyAlignment="1">
      <alignment/>
    </xf>
    <xf numFmtId="164" fontId="23" fillId="0" borderId="0" xfId="15" applyNumberFormat="1" applyFont="1" applyAlignment="1">
      <alignment horizontal="center"/>
    </xf>
    <xf numFmtId="164" fontId="13" fillId="0" borderId="0" xfId="15" applyNumberFormat="1" applyFont="1" applyBorder="1" applyAlignment="1">
      <alignment horizontal="left" vertical="center" indent="5"/>
    </xf>
    <xf numFmtId="37" fontId="21" fillId="0" borderId="0" xfId="0" applyNumberFormat="1" applyFont="1" applyAlignment="1">
      <alignment/>
    </xf>
    <xf numFmtId="0" fontId="21" fillId="0" borderId="0" xfId="0" applyFont="1" applyAlignment="1">
      <alignment horizontal="center"/>
    </xf>
    <xf numFmtId="0" fontId="21" fillId="0" borderId="0" xfId="0" applyFont="1" applyAlignment="1">
      <alignment horizontal="justify"/>
    </xf>
    <xf numFmtId="0" fontId="21" fillId="0" borderId="0" xfId="0" applyFont="1" applyAlignment="1">
      <alignment vertical="center"/>
    </xf>
    <xf numFmtId="0" fontId="18" fillId="0" borderId="0" xfId="0" applyFont="1" applyAlignment="1">
      <alignment/>
    </xf>
    <xf numFmtId="164" fontId="14" fillId="0" borderId="0" xfId="15" applyNumberFormat="1" applyFont="1" applyBorder="1" applyAlignment="1">
      <alignment horizontal="center"/>
    </xf>
    <xf numFmtId="164" fontId="14" fillId="0" borderId="0" xfId="15" applyNumberFormat="1" applyFont="1" applyAlignment="1">
      <alignment horizontal="center"/>
    </xf>
    <xf numFmtId="164" fontId="14" fillId="0" borderId="0" xfId="15" applyNumberFormat="1" applyFont="1" applyAlignment="1">
      <alignment/>
    </xf>
    <xf numFmtId="164" fontId="14" fillId="0" borderId="2" xfId="15" applyNumberFormat="1" applyFont="1" applyBorder="1" applyAlignment="1">
      <alignment/>
    </xf>
    <xf numFmtId="37" fontId="17" fillId="0" borderId="3" xfId="0" applyNumberFormat="1" applyFont="1" applyBorder="1" applyAlignment="1">
      <alignment horizontal="center"/>
    </xf>
    <xf numFmtId="37" fontId="17" fillId="0" borderId="3" xfId="0" applyNumberFormat="1" applyFont="1" applyBorder="1" applyAlignment="1">
      <alignment horizontal="right"/>
    </xf>
    <xf numFmtId="37" fontId="14" fillId="0" borderId="0" xfId="0" applyNumberFormat="1" applyFont="1" applyBorder="1" applyAlignment="1">
      <alignment/>
    </xf>
    <xf numFmtId="37" fontId="14" fillId="0" borderId="0" xfId="0" applyNumberFormat="1" applyFont="1" applyBorder="1" applyAlignment="1">
      <alignment wrapText="1"/>
    </xf>
    <xf numFmtId="0" fontId="14" fillId="0" borderId="0" xfId="0" applyFont="1" applyAlignment="1">
      <alignment horizontal="center"/>
    </xf>
    <xf numFmtId="37" fontId="17" fillId="0" borderId="0" xfId="0" applyNumberFormat="1" applyFont="1" applyBorder="1" applyAlignment="1">
      <alignment/>
    </xf>
    <xf numFmtId="0" fontId="14" fillId="0" borderId="0" xfId="0" applyFont="1" applyAlignment="1">
      <alignment/>
    </xf>
    <xf numFmtId="41" fontId="14" fillId="0" borderId="0" xfId="15" applyNumberFormat="1" applyFont="1" applyAlignment="1">
      <alignment/>
    </xf>
    <xf numFmtId="0" fontId="26" fillId="0" borderId="0" xfId="0" applyFont="1" applyBorder="1" applyAlignment="1">
      <alignment horizontal="right"/>
    </xf>
    <xf numFmtId="164" fontId="14" fillId="0" borderId="0" xfId="15" applyNumberFormat="1" applyFont="1" applyAlignment="1">
      <alignment/>
    </xf>
    <xf numFmtId="0" fontId="27" fillId="0" borderId="0" xfId="0" applyFont="1" applyAlignment="1">
      <alignment/>
    </xf>
    <xf numFmtId="0" fontId="17" fillId="0" borderId="0" xfId="0" applyFont="1" applyAlignment="1">
      <alignment vertical="center"/>
    </xf>
    <xf numFmtId="41" fontId="14" fillId="0" borderId="0" xfId="0" applyNumberFormat="1" applyFont="1" applyAlignment="1">
      <alignment horizontal="right"/>
    </xf>
    <xf numFmtId="0" fontId="14" fillId="0" borderId="2" xfId="0" applyFont="1" applyBorder="1" applyAlignment="1">
      <alignment/>
    </xf>
    <xf numFmtId="0" fontId="26" fillId="0" borderId="2"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41" fontId="28" fillId="0" borderId="0" xfId="15" applyNumberFormat="1" applyFont="1" applyBorder="1" applyAlignment="1">
      <alignment horizontal="right"/>
    </xf>
    <xf numFmtId="41" fontId="14" fillId="0" borderId="0" xfId="0" applyNumberFormat="1" applyFont="1" applyBorder="1" applyAlignment="1">
      <alignment horizontal="center"/>
    </xf>
    <xf numFmtId="0" fontId="17" fillId="0" borderId="0" xfId="0" applyFont="1" applyAlignment="1" quotePrefix="1">
      <alignment horizontal="left"/>
    </xf>
    <xf numFmtId="0" fontId="17" fillId="0" borderId="0" xfId="0" applyFont="1" applyAlignment="1">
      <alignment/>
    </xf>
    <xf numFmtId="41" fontId="14" fillId="0" borderId="0" xfId="0" applyNumberFormat="1" applyFont="1" applyAlignment="1">
      <alignment/>
    </xf>
    <xf numFmtId="3" fontId="17" fillId="0" borderId="0" xfId="0" applyNumberFormat="1" applyFont="1" applyAlignment="1">
      <alignment/>
    </xf>
    <xf numFmtId="3" fontId="14" fillId="0" borderId="0" xfId="0" applyNumberFormat="1" applyFont="1" applyAlignment="1">
      <alignment horizontal="justify" wrapText="1"/>
    </xf>
    <xf numFmtId="0" fontId="14" fillId="0" borderId="0" xfId="0" applyFont="1" applyAlignment="1">
      <alignment horizontal="justify"/>
    </xf>
    <xf numFmtId="3" fontId="17" fillId="0" borderId="0" xfId="0" applyNumberFormat="1" applyFont="1" applyAlignment="1">
      <alignment vertical="top"/>
    </xf>
    <xf numFmtId="3" fontId="14" fillId="0" borderId="0" xfId="0" applyNumberFormat="1" applyFont="1" applyAlignment="1">
      <alignment horizontal="justify" vertical="top" wrapText="1"/>
    </xf>
    <xf numFmtId="0" fontId="14" fillId="0" borderId="0" xfId="0" applyFont="1" applyAlignment="1">
      <alignment horizontal="left"/>
    </xf>
    <xf numFmtId="0" fontId="17" fillId="0" borderId="0" xfId="0" applyFont="1" applyAlignment="1" quotePrefix="1">
      <alignment vertical="top"/>
    </xf>
    <xf numFmtId="0" fontId="14" fillId="0" borderId="0" xfId="0" applyFont="1" applyAlignment="1">
      <alignment horizontal="left" vertical="center"/>
    </xf>
    <xf numFmtId="0" fontId="17" fillId="0" borderId="0" xfId="0" applyFont="1" applyAlignment="1">
      <alignment horizontal="left"/>
    </xf>
    <xf numFmtId="41" fontId="14" fillId="0" borderId="0" xfId="0" applyNumberFormat="1" applyFont="1" applyAlignment="1">
      <alignment horizontal="left" vertical="center"/>
    </xf>
    <xf numFmtId="0" fontId="17" fillId="0" borderId="0" xfId="0" applyFont="1" applyAlignment="1" quotePrefix="1">
      <alignment vertical="center"/>
    </xf>
    <xf numFmtId="0" fontId="17" fillId="0" borderId="0" xfId="0" applyFont="1" applyAlignment="1" quotePrefix="1">
      <alignment/>
    </xf>
    <xf numFmtId="0" fontId="14" fillId="0" borderId="0" xfId="0" applyFont="1" applyAlignment="1" quotePrefix="1">
      <alignment/>
    </xf>
    <xf numFmtId="41" fontId="17" fillId="0" borderId="0" xfId="0" applyNumberFormat="1" applyFont="1" applyAlignment="1">
      <alignment/>
    </xf>
    <xf numFmtId="0" fontId="29" fillId="0" borderId="0" xfId="0" applyFont="1" applyAlignment="1" quotePrefix="1">
      <alignment/>
    </xf>
    <xf numFmtId="0" fontId="14" fillId="0" borderId="0" xfId="0" applyFont="1" applyAlignment="1" quotePrefix="1">
      <alignment horizontal="left" vertical="top"/>
    </xf>
    <xf numFmtId="41" fontId="14" fillId="0" borderId="0" xfId="15" applyNumberFormat="1" applyFont="1" applyBorder="1" applyAlignment="1">
      <alignment/>
    </xf>
    <xf numFmtId="0" fontId="17" fillId="0" borderId="0" xfId="0" applyFont="1" applyBorder="1" applyAlignment="1" quotePrefix="1">
      <alignment horizontal="left"/>
    </xf>
    <xf numFmtId="0" fontId="17" fillId="0" borderId="2" xfId="0" applyFont="1" applyBorder="1" applyAlignment="1">
      <alignment horizontal="left"/>
    </xf>
    <xf numFmtId="0" fontId="14" fillId="0" borderId="2" xfId="0" applyFont="1" applyBorder="1" applyAlignment="1">
      <alignment horizontal="left"/>
    </xf>
    <xf numFmtId="164" fontId="17" fillId="0" borderId="2" xfId="15" applyNumberFormat="1" applyFont="1" applyBorder="1" applyAlignment="1">
      <alignment/>
    </xf>
    <xf numFmtId="164" fontId="14" fillId="0" borderId="2" xfId="15" applyNumberFormat="1" applyFont="1" applyBorder="1" applyAlignment="1">
      <alignment/>
    </xf>
    <xf numFmtId="14" fontId="17" fillId="0" borderId="2" xfId="15" applyNumberFormat="1" applyFont="1" applyBorder="1" applyAlignment="1">
      <alignment horizontal="right"/>
    </xf>
    <xf numFmtId="14" fontId="17" fillId="0" borderId="2" xfId="15" applyNumberFormat="1" applyFont="1" applyBorder="1" applyAlignment="1" quotePrefix="1">
      <alignment horizontal="right"/>
    </xf>
    <xf numFmtId="41" fontId="14" fillId="0" borderId="0" xfId="15" applyNumberFormat="1" applyFont="1" applyBorder="1" applyAlignment="1">
      <alignment horizontal="right"/>
    </xf>
    <xf numFmtId="0" fontId="14" fillId="0" borderId="0" xfId="0" applyFont="1" applyBorder="1" applyAlignment="1" quotePrefix="1">
      <alignment/>
    </xf>
    <xf numFmtId="0" fontId="14" fillId="0" borderId="0" xfId="0" applyFont="1" applyBorder="1" applyAlignment="1">
      <alignment horizontal="left"/>
    </xf>
    <xf numFmtId="164" fontId="14" fillId="0" borderId="0" xfId="15" applyNumberFormat="1" applyFont="1" applyBorder="1" applyAlignment="1">
      <alignment/>
    </xf>
    <xf numFmtId="41" fontId="14" fillId="0" borderId="0" xfId="15" applyNumberFormat="1" applyFont="1" applyBorder="1" applyAlignment="1">
      <alignment horizontal="center"/>
    </xf>
    <xf numFmtId="164" fontId="14" fillId="0" borderId="0" xfId="15" applyNumberFormat="1" applyFont="1" applyBorder="1" applyAlignment="1">
      <alignment horizontal="right"/>
    </xf>
    <xf numFmtId="0" fontId="14" fillId="0" borderId="4" xfId="0" applyFont="1" applyBorder="1" applyAlignment="1">
      <alignment/>
    </xf>
    <xf numFmtId="0" fontId="14" fillId="0" borderId="4" xfId="0" applyFont="1" applyBorder="1" applyAlignment="1">
      <alignment horizontal="left"/>
    </xf>
    <xf numFmtId="0" fontId="17" fillId="0" borderId="4" xfId="0" applyFont="1" applyBorder="1" applyAlignment="1">
      <alignment horizontal="center"/>
    </xf>
    <xf numFmtId="164" fontId="14" fillId="0" borderId="4" xfId="15" applyNumberFormat="1" applyFont="1" applyBorder="1" applyAlignment="1">
      <alignment horizontal="right"/>
    </xf>
    <xf numFmtId="41" fontId="17" fillId="0" borderId="4" xfId="0" applyNumberFormat="1" applyFont="1" applyBorder="1" applyAlignment="1">
      <alignment horizontal="right"/>
    </xf>
    <xf numFmtId="0" fontId="17" fillId="0" borderId="0" xfId="0" applyFont="1" applyBorder="1" applyAlignment="1">
      <alignment horizontal="center"/>
    </xf>
    <xf numFmtId="41" fontId="17" fillId="0" borderId="0" xfId="0" applyNumberFormat="1" applyFont="1" applyBorder="1" applyAlignment="1">
      <alignment horizontal="right"/>
    </xf>
    <xf numFmtId="0" fontId="17" fillId="0" borderId="0" xfId="0" applyFont="1" applyFill="1" applyBorder="1" applyAlignment="1" quotePrefix="1">
      <alignment horizontal="left"/>
    </xf>
    <xf numFmtId="0" fontId="17" fillId="0" borderId="2" xfId="0" applyFont="1" applyBorder="1" applyAlignment="1">
      <alignment/>
    </xf>
    <xf numFmtId="0" fontId="17" fillId="0" borderId="2" xfId="0" applyFont="1" applyBorder="1" applyAlignment="1">
      <alignment horizontal="center"/>
    </xf>
    <xf numFmtId="164" fontId="14" fillId="0" borderId="2" xfId="15" applyNumberFormat="1" applyFont="1" applyBorder="1" applyAlignment="1">
      <alignment horizontal="right"/>
    </xf>
    <xf numFmtId="0" fontId="14" fillId="0" borderId="0" xfId="0" applyFont="1" applyBorder="1" applyAlignment="1">
      <alignment horizontal="justify"/>
    </xf>
    <xf numFmtId="164" fontId="14" fillId="0" borderId="0" xfId="15" applyNumberFormat="1" applyFont="1" applyBorder="1" applyAlignment="1" quotePrefix="1">
      <alignment horizontal="right"/>
    </xf>
    <xf numFmtId="0" fontId="17" fillId="0" borderId="2" xfId="0" applyFont="1" applyFill="1" applyBorder="1" applyAlignment="1">
      <alignment horizontal="left"/>
    </xf>
    <xf numFmtId="0" fontId="14" fillId="0" borderId="2" xfId="0" applyFont="1" applyFill="1" applyBorder="1" applyAlignment="1">
      <alignment horizontal="left"/>
    </xf>
    <xf numFmtId="0" fontId="14" fillId="0" borderId="2" xfId="0" applyFont="1" applyFill="1" applyBorder="1" applyAlignment="1">
      <alignment horizontal="justify"/>
    </xf>
    <xf numFmtId="164" fontId="14" fillId="0" borderId="0" xfId="15" applyNumberFormat="1" applyFont="1" applyFill="1" applyBorder="1" applyAlignment="1" quotePrefix="1">
      <alignment horizontal="right"/>
    </xf>
    <xf numFmtId="0" fontId="14" fillId="0" borderId="0" xfId="0" applyFont="1" applyFill="1" applyAlignment="1">
      <alignment/>
    </xf>
    <xf numFmtId="0" fontId="14" fillId="0" borderId="0" xfId="0" applyFont="1" applyFill="1" applyAlignment="1">
      <alignment horizontal="center"/>
    </xf>
    <xf numFmtId="0" fontId="14" fillId="0" borderId="0" xfId="0" applyFont="1" applyFill="1" applyAlignment="1" quotePrefix="1">
      <alignment horizontal="left"/>
    </xf>
    <xf numFmtId="0" fontId="14" fillId="0" borderId="0" xfId="0" applyFont="1" applyFill="1" applyBorder="1" applyAlignment="1">
      <alignment horizontal="left"/>
    </xf>
    <xf numFmtId="0" fontId="14" fillId="0" borderId="0" xfId="0" applyFont="1" applyFill="1" applyBorder="1" applyAlignment="1">
      <alignment horizontal="justify"/>
    </xf>
    <xf numFmtId="41" fontId="14" fillId="0" borderId="0" xfId="15" applyNumberFormat="1" applyFont="1" applyFill="1" applyAlignment="1">
      <alignment/>
    </xf>
    <xf numFmtId="0" fontId="30" fillId="0" borderId="0" xfId="0" applyFont="1" applyFill="1" applyBorder="1" applyAlignment="1">
      <alignment horizontal="left"/>
    </xf>
    <xf numFmtId="0" fontId="28" fillId="0" borderId="0" xfId="0" applyFont="1" applyFill="1" applyAlignment="1" quotePrefix="1">
      <alignment/>
    </xf>
    <xf numFmtId="41" fontId="28" fillId="0" borderId="0" xfId="15" applyNumberFormat="1" applyFont="1" applyFill="1" applyAlignment="1">
      <alignment/>
    </xf>
    <xf numFmtId="41" fontId="14" fillId="0" borderId="0" xfId="0" applyNumberFormat="1" applyFont="1" applyFill="1" applyAlignment="1">
      <alignment/>
    </xf>
    <xf numFmtId="0" fontId="14" fillId="0" borderId="4" xfId="0" applyFont="1" applyFill="1" applyBorder="1" applyAlignment="1">
      <alignment/>
    </xf>
    <xf numFmtId="0" fontId="14" fillId="0" borderId="4" xfId="0" applyFont="1" applyFill="1" applyBorder="1" applyAlignment="1">
      <alignment horizontal="left"/>
    </xf>
    <xf numFmtId="0" fontId="17" fillId="0" borderId="4" xfId="0" applyFont="1" applyFill="1" applyBorder="1" applyAlignment="1">
      <alignment horizontal="center"/>
    </xf>
    <xf numFmtId="164" fontId="14" fillId="0" borderId="4" xfId="15" applyNumberFormat="1" applyFont="1" applyFill="1" applyBorder="1" applyAlignment="1">
      <alignment horizontal="right"/>
    </xf>
    <xf numFmtId="41" fontId="17" fillId="0" borderId="4" xfId="0" applyNumberFormat="1" applyFont="1" applyFill="1" applyBorder="1" applyAlignment="1">
      <alignment horizontal="right"/>
    </xf>
    <xf numFmtId="164" fontId="14" fillId="0" borderId="0" xfId="15" applyNumberFormat="1" applyFont="1" applyFill="1" applyBorder="1" applyAlignment="1">
      <alignment horizontal="right"/>
    </xf>
    <xf numFmtId="41" fontId="14" fillId="0" borderId="0" xfId="0" applyNumberFormat="1" applyFont="1" applyFill="1" applyBorder="1" applyAlignment="1">
      <alignment horizontal="right"/>
    </xf>
    <xf numFmtId="41" fontId="14" fillId="0" borderId="0" xfId="0" applyNumberFormat="1" applyFont="1" applyBorder="1" applyAlignment="1">
      <alignment horizontal="right"/>
    </xf>
    <xf numFmtId="0" fontId="14" fillId="0" borderId="2" xfId="0" applyFont="1" applyBorder="1" applyAlignment="1">
      <alignment horizontal="justify"/>
    </xf>
    <xf numFmtId="0" fontId="17" fillId="0" borderId="4" xfId="0" applyFont="1" applyBorder="1" applyAlignment="1">
      <alignment/>
    </xf>
    <xf numFmtId="41" fontId="14" fillId="0" borderId="4" xfId="15" applyNumberFormat="1" applyFont="1" applyBorder="1" applyAlignment="1">
      <alignment/>
    </xf>
    <xf numFmtId="41" fontId="17" fillId="0" borderId="4" xfId="15" applyNumberFormat="1" applyFont="1" applyBorder="1" applyAlignment="1">
      <alignment/>
    </xf>
    <xf numFmtId="0" fontId="17" fillId="0" borderId="0" xfId="0" applyFont="1" applyBorder="1" applyAlignment="1">
      <alignment horizontal="left"/>
    </xf>
    <xf numFmtId="164" fontId="14" fillId="0" borderId="0" xfId="0" applyNumberFormat="1" applyFont="1" applyAlignment="1">
      <alignment/>
    </xf>
    <xf numFmtId="0" fontId="14" fillId="0" borderId="4" xfId="0" applyFont="1" applyBorder="1" applyAlignment="1" quotePrefix="1">
      <alignment/>
    </xf>
    <xf numFmtId="0" fontId="14" fillId="0" borderId="4" xfId="0" applyFont="1" applyBorder="1" applyAlignment="1">
      <alignment horizontal="justify"/>
    </xf>
    <xf numFmtId="164" fontId="14" fillId="0" borderId="4" xfId="15" applyNumberFormat="1" applyFont="1" applyBorder="1" applyAlignment="1">
      <alignment horizontal="center"/>
    </xf>
    <xf numFmtId="0" fontId="17" fillId="0" borderId="0" xfId="0" applyFont="1" applyBorder="1" applyAlignment="1">
      <alignment/>
    </xf>
    <xf numFmtId="41" fontId="14" fillId="0" borderId="0" xfId="0" applyNumberFormat="1" applyFont="1" applyBorder="1" applyAlignment="1">
      <alignment/>
    </xf>
    <xf numFmtId="0" fontId="17" fillId="0" borderId="3" xfId="31" applyFont="1" applyBorder="1" applyAlignment="1">
      <alignment horizontal="center" vertical="center"/>
      <protection/>
    </xf>
    <xf numFmtId="0" fontId="17" fillId="0" borderId="3" xfId="31" applyFont="1" applyBorder="1" applyAlignment="1">
      <alignment horizontal="center" vertical="center" wrapText="1"/>
      <protection/>
    </xf>
    <xf numFmtId="41" fontId="17" fillId="0" borderId="3" xfId="31" applyNumberFormat="1" applyFont="1" applyBorder="1" applyAlignment="1">
      <alignment horizontal="center" vertical="center" wrapText="1"/>
      <protection/>
    </xf>
    <xf numFmtId="41" fontId="17" fillId="0" borderId="3" xfId="31" applyNumberFormat="1" applyFont="1" applyBorder="1" applyAlignment="1">
      <alignment horizontal="right" vertical="center"/>
      <protection/>
    </xf>
    <xf numFmtId="0" fontId="17" fillId="0" borderId="3" xfId="31" applyFont="1" applyBorder="1" applyAlignment="1">
      <alignment horizontal="left" vertical="center"/>
      <protection/>
    </xf>
    <xf numFmtId="41" fontId="14" fillId="0" borderId="2" xfId="0" applyNumberFormat="1" applyFont="1" applyBorder="1" applyAlignment="1">
      <alignment/>
    </xf>
    <xf numFmtId="0" fontId="14" fillId="0" borderId="5" xfId="31" applyFont="1" applyBorder="1" applyAlignment="1">
      <alignment horizontal="left"/>
      <protection/>
    </xf>
    <xf numFmtId="3" fontId="14" fillId="0" borderId="5" xfId="15" applyNumberFormat="1" applyFont="1" applyBorder="1" applyAlignment="1">
      <alignment/>
    </xf>
    <xf numFmtId="0" fontId="14" fillId="0" borderId="5" xfId="0" applyFont="1" applyBorder="1" applyAlignment="1">
      <alignment/>
    </xf>
    <xf numFmtId="41" fontId="14" fillId="0" borderId="5" xfId="15" applyNumberFormat="1" applyFont="1" applyBorder="1" applyAlignment="1">
      <alignment/>
    </xf>
    <xf numFmtId="3" fontId="14" fillId="0" borderId="0" xfId="15" applyNumberFormat="1" applyFont="1" applyBorder="1" applyAlignment="1">
      <alignment/>
    </xf>
    <xf numFmtId="41" fontId="28" fillId="0" borderId="0" xfId="15" applyNumberFormat="1" applyFont="1" applyBorder="1" applyAlignment="1">
      <alignment/>
    </xf>
    <xf numFmtId="41" fontId="28" fillId="0" borderId="6" xfId="15" applyNumberFormat="1" applyFont="1" applyBorder="1" applyAlignment="1">
      <alignment/>
    </xf>
    <xf numFmtId="0" fontId="28" fillId="0" borderId="6" xfId="31" applyFont="1" applyBorder="1" applyAlignment="1" quotePrefix="1">
      <alignment horizontal="left"/>
      <protection/>
    </xf>
    <xf numFmtId="3" fontId="28" fillId="0" borderId="6" xfId="31" applyNumberFormat="1" applyFont="1" applyBorder="1" applyAlignment="1">
      <alignment/>
      <protection/>
    </xf>
    <xf numFmtId="0" fontId="28" fillId="0" borderId="6" xfId="0" applyFont="1" applyBorder="1" applyAlignment="1">
      <alignment/>
    </xf>
    <xf numFmtId="41" fontId="28" fillId="0" borderId="6" xfId="31" applyNumberFormat="1" applyFont="1" applyBorder="1" applyAlignment="1">
      <alignment/>
      <protection/>
    </xf>
    <xf numFmtId="41" fontId="31" fillId="0" borderId="6" xfId="15" applyNumberFormat="1" applyFont="1" applyBorder="1" applyAlignment="1">
      <alignment/>
    </xf>
    <xf numFmtId="41" fontId="28" fillId="0" borderId="0" xfId="0" applyNumberFormat="1" applyFont="1" applyAlignment="1">
      <alignment/>
    </xf>
    <xf numFmtId="0" fontId="14" fillId="0" borderId="0" xfId="31" applyFont="1" applyBorder="1" applyAlignment="1">
      <alignment horizontal="left"/>
      <protection/>
    </xf>
    <xf numFmtId="3" fontId="14" fillId="0" borderId="0" xfId="15" applyNumberFormat="1" applyFont="1" applyBorder="1" applyAlignment="1">
      <alignment horizontal="right"/>
    </xf>
    <xf numFmtId="41" fontId="14" fillId="0" borderId="0" xfId="31" applyNumberFormat="1" applyFont="1" applyBorder="1" applyAlignment="1">
      <alignment horizontal="right"/>
      <protection/>
    </xf>
    <xf numFmtId="0" fontId="28" fillId="0" borderId="0" xfId="31" applyFont="1" applyBorder="1" applyAlignment="1">
      <alignment horizontal="left"/>
      <protection/>
    </xf>
    <xf numFmtId="3" fontId="14" fillId="0" borderId="0" xfId="31" applyNumberFormat="1" applyFont="1" applyBorder="1" applyAlignment="1">
      <alignment horizontal="right"/>
      <protection/>
    </xf>
    <xf numFmtId="167" fontId="14" fillId="0" borderId="0" xfId="31" applyNumberFormat="1" applyFont="1" applyBorder="1" applyAlignment="1">
      <alignment horizontal="right"/>
      <protection/>
    </xf>
    <xf numFmtId="0" fontId="14" fillId="0" borderId="0" xfId="0" applyFont="1" applyAlignment="1" quotePrefix="1">
      <alignment horizontal="left"/>
    </xf>
    <xf numFmtId="41" fontId="14" fillId="0" borderId="0" xfId="0" applyNumberFormat="1" applyFont="1" applyAlignment="1" quotePrefix="1">
      <alignment horizontal="left"/>
    </xf>
    <xf numFmtId="164" fontId="17" fillId="0" borderId="5" xfId="15" applyNumberFormat="1" applyFont="1" applyBorder="1" applyAlignment="1">
      <alignment/>
    </xf>
    <xf numFmtId="164" fontId="28" fillId="0" borderId="0" xfId="15" applyNumberFormat="1" applyFont="1" applyBorder="1" applyAlignment="1">
      <alignment/>
    </xf>
    <xf numFmtId="164" fontId="14" fillId="0" borderId="7" xfId="15" applyNumberFormat="1" applyFont="1" applyBorder="1" applyAlignment="1">
      <alignment/>
    </xf>
    <xf numFmtId="164" fontId="17" fillId="0" borderId="0" xfId="15" applyNumberFormat="1" applyFont="1" applyBorder="1" applyAlignment="1">
      <alignment/>
    </xf>
    <xf numFmtId="3" fontId="14" fillId="0" borderId="2" xfId="15" applyNumberFormat="1" applyFont="1" applyBorder="1" applyAlignment="1">
      <alignment horizontal="right"/>
    </xf>
    <xf numFmtId="167" fontId="14" fillId="0" borderId="2" xfId="31" applyNumberFormat="1" applyFont="1" applyBorder="1" applyAlignment="1">
      <alignment horizontal="right"/>
      <protection/>
    </xf>
    <xf numFmtId="164" fontId="17" fillId="0" borderId="3" xfId="15" applyNumberFormat="1" applyFont="1" applyBorder="1" applyAlignment="1">
      <alignment/>
    </xf>
    <xf numFmtId="164" fontId="14" fillId="0" borderId="8" xfId="15" applyNumberFormat="1" applyFont="1" applyBorder="1" applyAlignment="1">
      <alignment horizontal="right"/>
    </xf>
    <xf numFmtId="0" fontId="17" fillId="0" borderId="2" xfId="31" applyFont="1" applyBorder="1" applyAlignment="1">
      <alignment horizontal="left"/>
      <protection/>
    </xf>
    <xf numFmtId="3" fontId="14" fillId="0" borderId="0" xfId="31" applyNumberFormat="1" applyFont="1" applyBorder="1" applyAlignment="1" quotePrefix="1">
      <alignment horizontal="left"/>
      <protection/>
    </xf>
    <xf numFmtId="0" fontId="18" fillId="0" borderId="0" xfId="0" applyFont="1" applyAlignment="1">
      <alignment horizontal="left"/>
    </xf>
    <xf numFmtId="164" fontId="28" fillId="0" borderId="0" xfId="15" applyNumberFormat="1" applyFont="1" applyBorder="1" applyAlignment="1">
      <alignment horizontal="right"/>
    </xf>
    <xf numFmtId="0" fontId="17" fillId="0" borderId="0" xfId="31" applyFont="1" applyBorder="1" applyAlignment="1">
      <alignment horizontal="left"/>
      <protection/>
    </xf>
    <xf numFmtId="164" fontId="14" fillId="0" borderId="7" xfId="15" applyNumberFormat="1" applyFont="1" applyBorder="1" applyAlignment="1">
      <alignment horizontal="right"/>
    </xf>
    <xf numFmtId="3" fontId="17" fillId="0" borderId="2" xfId="15" applyNumberFormat="1" applyFont="1" applyBorder="1" applyAlignment="1">
      <alignment/>
    </xf>
    <xf numFmtId="164" fontId="14" fillId="0" borderId="2" xfId="15" applyNumberFormat="1" applyFont="1" applyBorder="1" applyAlignment="1">
      <alignment horizontal="left"/>
    </xf>
    <xf numFmtId="164" fontId="14" fillId="0" borderId="2" xfId="15" applyNumberFormat="1" applyFont="1" applyBorder="1" applyAlignment="1">
      <alignment horizontal="justify"/>
    </xf>
    <xf numFmtId="0" fontId="14" fillId="0" borderId="9" xfId="0" applyFont="1" applyBorder="1" applyAlignment="1" quotePrefix="1">
      <alignment horizontal="left"/>
    </xf>
    <xf numFmtId="0" fontId="14" fillId="0" borderId="9" xfId="0" applyFont="1" applyBorder="1" applyAlignment="1">
      <alignment horizontal="left"/>
    </xf>
    <xf numFmtId="164" fontId="14" fillId="0" borderId="9" xfId="15" applyNumberFormat="1" applyFont="1" applyBorder="1" applyAlignment="1">
      <alignment horizontal="left"/>
    </xf>
    <xf numFmtId="164" fontId="14" fillId="0" borderId="9" xfId="15" applyNumberFormat="1" applyFont="1" applyBorder="1" applyAlignment="1">
      <alignment horizontal="justify"/>
    </xf>
    <xf numFmtId="0" fontId="14" fillId="0" borderId="0" xfId="0" applyFont="1" applyBorder="1" applyAlignment="1" quotePrefix="1">
      <alignment horizontal="left"/>
    </xf>
    <xf numFmtId="164" fontId="14" fillId="0" borderId="0" xfId="15" applyNumberFormat="1" applyFont="1" applyBorder="1" applyAlignment="1">
      <alignment horizontal="left"/>
    </xf>
    <xf numFmtId="14" fontId="17" fillId="0" borderId="0" xfId="15" applyNumberFormat="1" applyFont="1" applyBorder="1" applyAlignment="1">
      <alignment horizontal="right"/>
    </xf>
    <xf numFmtId="0" fontId="14" fillId="0" borderId="0" xfId="0" applyFont="1" applyAlignment="1" quotePrefix="1">
      <alignment horizontal="center"/>
    </xf>
    <xf numFmtId="164" fontId="14" fillId="0" borderId="0" xfId="15" applyNumberFormat="1" applyFont="1" applyBorder="1" applyAlignment="1">
      <alignment horizontal="justify"/>
    </xf>
    <xf numFmtId="0" fontId="14" fillId="0" borderId="0" xfId="0" applyFont="1" applyFill="1" applyAlignment="1" quotePrefix="1">
      <alignment horizontal="center"/>
    </xf>
    <xf numFmtId="0" fontId="14" fillId="0" borderId="0" xfId="0" applyFont="1" applyFill="1" applyBorder="1" applyAlignment="1" quotePrefix="1">
      <alignment horizontal="left"/>
    </xf>
    <xf numFmtId="164" fontId="14" fillId="0" borderId="0" xfId="15" applyNumberFormat="1" applyFont="1" applyFill="1" applyBorder="1" applyAlignment="1">
      <alignment horizontal="left"/>
    </xf>
    <xf numFmtId="164" fontId="14" fillId="0" borderId="0" xfId="15" applyNumberFormat="1" applyFont="1" applyFill="1" applyBorder="1" applyAlignment="1">
      <alignment horizontal="justify"/>
    </xf>
    <xf numFmtId="41" fontId="17" fillId="0" borderId="4" xfId="15" applyNumberFormat="1" applyFont="1" applyFill="1" applyBorder="1" applyAlignment="1">
      <alignment horizontal="right"/>
    </xf>
    <xf numFmtId="41" fontId="17" fillId="0" borderId="4" xfId="15" applyNumberFormat="1" applyFont="1" applyFill="1" applyBorder="1" applyAlignment="1">
      <alignment/>
    </xf>
    <xf numFmtId="3" fontId="17" fillId="0" borderId="0" xfId="15" applyNumberFormat="1" applyFont="1" applyBorder="1" applyAlignment="1">
      <alignment/>
    </xf>
    <xf numFmtId="3" fontId="14" fillId="0" borderId="0" xfId="15" applyNumberFormat="1" applyFont="1" applyBorder="1" applyAlignment="1" quotePrefix="1">
      <alignment/>
    </xf>
    <xf numFmtId="0" fontId="14" fillId="0" borderId="0" xfId="0" applyFont="1" applyFill="1" applyBorder="1" applyAlignment="1">
      <alignment/>
    </xf>
    <xf numFmtId="41" fontId="14" fillId="0" borderId="0" xfId="0" applyNumberFormat="1" applyFont="1" applyFill="1" applyBorder="1" applyAlignment="1">
      <alignment/>
    </xf>
    <xf numFmtId="0" fontId="28" fillId="0" borderId="0" xfId="0" applyFont="1" applyBorder="1" applyAlignment="1" quotePrefix="1">
      <alignment horizontal="left"/>
    </xf>
    <xf numFmtId="0" fontId="28" fillId="0" borderId="0" xfId="0" applyFont="1" applyBorder="1" applyAlignment="1">
      <alignment horizontal="left"/>
    </xf>
    <xf numFmtId="164" fontId="28" fillId="0" borderId="0" xfId="15" applyNumberFormat="1" applyFont="1" applyBorder="1" applyAlignment="1">
      <alignment horizontal="left"/>
    </xf>
    <xf numFmtId="164" fontId="28" fillId="0" borderId="0" xfId="15" applyNumberFormat="1" applyFont="1" applyBorder="1" applyAlignment="1">
      <alignment horizontal="justify"/>
    </xf>
    <xf numFmtId="3" fontId="28" fillId="0" borderId="0" xfId="15" applyNumberFormat="1" applyFont="1" applyBorder="1" applyAlignment="1" quotePrefix="1">
      <alignment horizontal="left" vertical="center"/>
    </xf>
    <xf numFmtId="14" fontId="17" fillId="0" borderId="0" xfId="15" applyNumberFormat="1" applyFont="1" applyBorder="1" applyAlignment="1" quotePrefix="1">
      <alignment horizontal="right"/>
    </xf>
    <xf numFmtId="0" fontId="14" fillId="0" borderId="0" xfId="0" applyFont="1" applyFill="1" applyAlignment="1">
      <alignment/>
    </xf>
    <xf numFmtId="3" fontId="17" fillId="0" borderId="0" xfId="15" applyNumberFormat="1" applyFont="1" applyFill="1" applyBorder="1" applyAlignment="1">
      <alignment/>
    </xf>
    <xf numFmtId="164" fontId="28" fillId="0" borderId="0" xfId="15" applyNumberFormat="1" applyFont="1" applyFill="1" applyBorder="1" applyAlignment="1">
      <alignment horizontal="left"/>
    </xf>
    <xf numFmtId="0" fontId="17" fillId="0" borderId="0" xfId="31" applyFont="1" applyFill="1" applyBorder="1" applyAlignment="1">
      <alignment horizontal="left"/>
      <protection/>
    </xf>
    <xf numFmtId="0" fontId="17" fillId="0" borderId="0" xfId="0" applyFont="1" applyFill="1" applyBorder="1" applyAlignment="1">
      <alignment horizontal="left"/>
    </xf>
    <xf numFmtId="41" fontId="17" fillId="0" borderId="3" xfId="15" applyNumberFormat="1" applyFont="1" applyFill="1" applyBorder="1" applyAlignment="1">
      <alignment horizontal="center" vertical="center" wrapText="1"/>
    </xf>
    <xf numFmtId="0" fontId="28" fillId="0" borderId="0" xfId="31" applyFont="1" applyFill="1" applyBorder="1" applyAlignment="1" quotePrefix="1">
      <alignment horizontal="left"/>
      <protection/>
    </xf>
    <xf numFmtId="164" fontId="28" fillId="0" borderId="0" xfId="15" applyNumberFormat="1" applyFont="1" applyFill="1" applyBorder="1" applyAlignment="1">
      <alignment/>
    </xf>
    <xf numFmtId="3" fontId="14" fillId="0" borderId="0" xfId="0" applyNumberFormat="1" applyFont="1" applyFill="1" applyBorder="1" applyAlignment="1">
      <alignment/>
    </xf>
    <xf numFmtId="3" fontId="28" fillId="0" borderId="0" xfId="0" applyNumberFormat="1" applyFont="1" applyFill="1" applyAlignment="1">
      <alignment/>
    </xf>
    <xf numFmtId="41" fontId="28" fillId="0" borderId="0" xfId="0" applyNumberFormat="1" applyFont="1" applyFill="1" applyAlignment="1">
      <alignment horizontal="center"/>
    </xf>
    <xf numFmtId="164" fontId="14" fillId="0" borderId="3" xfId="15" applyNumberFormat="1" applyFont="1" applyFill="1" applyBorder="1" applyAlignment="1">
      <alignment vertical="center"/>
    </xf>
    <xf numFmtId="164" fontId="14" fillId="0" borderId="0" xfId="15" applyNumberFormat="1" applyFont="1" applyFill="1" applyBorder="1" applyAlignment="1">
      <alignment/>
    </xf>
    <xf numFmtId="0" fontId="28" fillId="0" borderId="0" xfId="31" applyFont="1" applyFill="1" applyBorder="1" applyAlignment="1" quotePrefix="1">
      <alignment horizontal="justify" vertical="center"/>
      <protection/>
    </xf>
    <xf numFmtId="164" fontId="28" fillId="0" borderId="0" xfId="15" applyNumberFormat="1" applyFont="1" applyFill="1" applyBorder="1" applyAlignment="1">
      <alignment horizontal="right"/>
    </xf>
    <xf numFmtId="41" fontId="28" fillId="0" borderId="0" xfId="0" applyNumberFormat="1" applyFont="1" applyFill="1" applyAlignment="1">
      <alignment/>
    </xf>
    <xf numFmtId="0" fontId="14" fillId="0" borderId="10" xfId="0" applyFont="1" applyFill="1" applyBorder="1" applyAlignment="1">
      <alignment/>
    </xf>
    <xf numFmtId="3" fontId="14" fillId="0" borderId="10" xfId="0" applyNumberFormat="1" applyFont="1" applyFill="1" applyBorder="1" applyAlignment="1">
      <alignment/>
    </xf>
    <xf numFmtId="164" fontId="14" fillId="0" borderId="10" xfId="15" applyNumberFormat="1" applyFont="1" applyFill="1" applyBorder="1" applyAlignment="1">
      <alignment/>
    </xf>
    <xf numFmtId="0" fontId="14" fillId="0" borderId="0" xfId="0" applyFont="1" applyFill="1" applyBorder="1" applyAlignment="1">
      <alignment horizontal="left" vertical="center"/>
    </xf>
    <xf numFmtId="164" fontId="14" fillId="0" borderId="0" xfId="0" applyNumberFormat="1" applyFont="1" applyFill="1" applyBorder="1" applyAlignment="1">
      <alignment horizontal="right" vertical="center"/>
    </xf>
    <xf numFmtId="0" fontId="17" fillId="0" borderId="0" xfId="0" applyFont="1" applyFill="1" applyBorder="1" applyAlignment="1">
      <alignment/>
    </xf>
    <xf numFmtId="0" fontId="17" fillId="0" borderId="0" xfId="0" applyFont="1" applyFill="1" applyBorder="1" applyAlignment="1">
      <alignment vertical="center"/>
    </xf>
    <xf numFmtId="0" fontId="33" fillId="0" borderId="9" xfId="0" applyFont="1" applyFill="1" applyBorder="1" applyAlignment="1">
      <alignment horizontal="left" vertical="center"/>
    </xf>
    <xf numFmtId="0" fontId="17" fillId="0" borderId="9" xfId="0" applyFont="1" applyFill="1" applyBorder="1" applyAlignment="1">
      <alignment horizontal="center" vertical="center"/>
    </xf>
    <xf numFmtId="0" fontId="14" fillId="0" borderId="0" xfId="0" applyFont="1" applyFill="1" applyBorder="1" applyAlignment="1" quotePrefix="1">
      <alignment horizontal="left" vertical="center"/>
    </xf>
    <xf numFmtId="41" fontId="14" fillId="0" borderId="0" xfId="15" applyNumberFormat="1" applyFont="1" applyFill="1" applyBorder="1" applyAlignment="1" quotePrefix="1">
      <alignment horizontal="right"/>
    </xf>
    <xf numFmtId="0" fontId="17" fillId="0" borderId="10" xfId="0" applyFont="1" applyFill="1" applyBorder="1" applyAlignment="1">
      <alignment horizontal="center" vertical="center"/>
    </xf>
    <xf numFmtId="3" fontId="17" fillId="0" borderId="10" xfId="15" applyNumberFormat="1" applyFont="1" applyFill="1" applyBorder="1" applyAlignment="1">
      <alignment/>
    </xf>
    <xf numFmtId="3" fontId="17" fillId="0" borderId="0" xfId="0" applyNumberFormat="1" applyFont="1" applyFill="1" applyBorder="1" applyAlignment="1">
      <alignment horizontal="right" vertical="center"/>
    </xf>
    <xf numFmtId="41" fontId="17" fillId="0" borderId="0" xfId="0" applyNumberFormat="1" applyFont="1" applyFill="1" applyBorder="1" applyAlignment="1">
      <alignment horizontal="right" vertical="center"/>
    </xf>
    <xf numFmtId="0" fontId="17" fillId="0" borderId="0" xfId="31" applyFont="1" applyFill="1" applyBorder="1" applyAlignment="1">
      <alignment horizontal="left" vertical="center"/>
      <protection/>
    </xf>
    <xf numFmtId="0" fontId="17" fillId="0" borderId="2" xfId="0" applyFont="1" applyFill="1" applyBorder="1" applyAlignment="1">
      <alignment horizontal="left" vertical="center"/>
    </xf>
    <xf numFmtId="0" fontId="18" fillId="0" borderId="2" xfId="0" applyFont="1" applyFill="1" applyBorder="1" applyAlignment="1">
      <alignment vertical="center"/>
    </xf>
    <xf numFmtId="41" fontId="17" fillId="0" borderId="2" xfId="15" applyNumberFormat="1" applyFont="1" applyFill="1" applyBorder="1" applyAlignment="1">
      <alignment horizontal="right" vertical="center"/>
    </xf>
    <xf numFmtId="0" fontId="17" fillId="0" borderId="0" xfId="31" applyFont="1" applyFill="1" applyBorder="1" applyAlignment="1">
      <alignment horizontal="left" vertical="top"/>
      <protection/>
    </xf>
    <xf numFmtId="0" fontId="17" fillId="0" borderId="0" xfId="0" applyFont="1" applyFill="1" applyBorder="1" applyAlignment="1">
      <alignment horizontal="left" vertical="center"/>
    </xf>
    <xf numFmtId="0" fontId="18" fillId="0" borderId="0" xfId="0" applyFont="1" applyFill="1" applyBorder="1" applyAlignment="1">
      <alignment vertical="center"/>
    </xf>
    <xf numFmtId="41" fontId="17" fillId="0" borderId="0" xfId="15" applyNumberFormat="1" applyFont="1" applyFill="1" applyBorder="1" applyAlignment="1">
      <alignment horizontal="right" vertical="center"/>
    </xf>
    <xf numFmtId="3" fontId="17" fillId="0" borderId="0" xfId="0" applyNumberFormat="1" applyFont="1" applyFill="1" applyBorder="1" applyAlignment="1">
      <alignment horizontal="right"/>
    </xf>
    <xf numFmtId="0" fontId="17" fillId="0" borderId="0" xfId="0" applyFont="1" applyFill="1" applyBorder="1" applyAlignment="1" quotePrefix="1">
      <alignment vertical="center"/>
    </xf>
    <xf numFmtId="0" fontId="28" fillId="0" borderId="0" xfId="0" applyFont="1" applyFill="1" applyBorder="1" applyAlignment="1" quotePrefix="1">
      <alignment horizontal="left" vertical="center"/>
    </xf>
    <xf numFmtId="0" fontId="28" fillId="0" borderId="0" xfId="0" applyFont="1" applyFill="1" applyBorder="1" applyAlignment="1">
      <alignment horizontal="left" vertical="center"/>
    </xf>
    <xf numFmtId="3" fontId="26" fillId="0" borderId="0" xfId="0" applyNumberFormat="1" applyFont="1" applyFill="1" applyBorder="1" applyAlignment="1">
      <alignment horizontal="right" vertical="center"/>
    </xf>
    <xf numFmtId="41" fontId="28" fillId="0" borderId="0" xfId="0" applyNumberFormat="1" applyFont="1" applyFill="1" applyBorder="1" applyAlignment="1">
      <alignment horizontal="right" vertical="center"/>
    </xf>
    <xf numFmtId="164" fontId="28" fillId="0" borderId="0" xfId="15" applyNumberFormat="1" applyFont="1" applyFill="1" applyBorder="1" applyAlignment="1">
      <alignment vertical="center"/>
    </xf>
    <xf numFmtId="41" fontId="14" fillId="0" borderId="0" xfId="0" applyNumberFormat="1" applyFont="1" applyFill="1" applyBorder="1" applyAlignment="1">
      <alignment horizontal="right" vertical="center"/>
    </xf>
    <xf numFmtId="0" fontId="17" fillId="0" borderId="0" xfId="31" applyFont="1" applyFill="1" applyBorder="1" applyAlignment="1" quotePrefix="1">
      <alignment horizontal="left"/>
      <protection/>
    </xf>
    <xf numFmtId="0" fontId="14" fillId="0" borderId="8" xfId="0" applyNumberFormat="1" applyFont="1" applyFill="1" applyBorder="1" applyAlignment="1">
      <alignment horizontal="justify" vertical="center"/>
    </xf>
    <xf numFmtId="0" fontId="18" fillId="0" borderId="8" xfId="0" applyFont="1" applyFill="1" applyBorder="1" applyAlignment="1">
      <alignment horizontal="justify" vertical="center"/>
    </xf>
    <xf numFmtId="0" fontId="14" fillId="0" borderId="0" xfId="0" applyNumberFormat="1" applyFont="1" applyFill="1" applyBorder="1" applyAlignment="1">
      <alignment horizontal="justify" vertical="center"/>
    </xf>
    <xf numFmtId="0" fontId="18" fillId="0" borderId="0" xfId="0" applyFont="1" applyFill="1" applyBorder="1" applyAlignment="1">
      <alignment horizontal="justify" vertical="center"/>
    </xf>
    <xf numFmtId="0" fontId="14" fillId="0" borderId="9" xfId="0" applyFont="1" applyFill="1" applyBorder="1" applyAlignment="1">
      <alignment horizontal="left" vertical="center"/>
    </xf>
    <xf numFmtId="9" fontId="14" fillId="0" borderId="0" xfId="15" applyNumberFormat="1" applyFont="1" applyFill="1" applyBorder="1" applyAlignment="1">
      <alignment horizontal="right" vertical="center"/>
    </xf>
    <xf numFmtId="0" fontId="17" fillId="0" borderId="8" xfId="0" applyFont="1" applyFill="1" applyBorder="1" applyAlignment="1">
      <alignment horizontal="justify" vertical="top"/>
    </xf>
    <xf numFmtId="0" fontId="28" fillId="0" borderId="8" xfId="0" applyFont="1" applyFill="1" applyBorder="1" applyAlignment="1" quotePrefix="1">
      <alignment horizontal="left" vertical="center"/>
    </xf>
    <xf numFmtId="0" fontId="18" fillId="0" borderId="8" xfId="0" applyFont="1" applyBorder="1" applyAlignment="1">
      <alignment horizontal="justify" vertical="top"/>
    </xf>
    <xf numFmtId="9" fontId="28" fillId="0" borderId="8" xfId="15" applyNumberFormat="1" applyFont="1" applyFill="1" applyBorder="1" applyAlignment="1">
      <alignment horizontal="right" vertical="center"/>
    </xf>
    <xf numFmtId="0" fontId="17" fillId="0" borderId="0" xfId="0" applyFont="1" applyFill="1" applyBorder="1" applyAlignment="1">
      <alignment horizontal="justify" vertical="top"/>
    </xf>
    <xf numFmtId="0" fontId="18" fillId="0" borderId="0" xfId="0" applyFont="1" applyAlignment="1">
      <alignment horizontal="justify" vertical="top"/>
    </xf>
    <xf numFmtId="14" fontId="17" fillId="0" borderId="0" xfId="15" applyNumberFormat="1" applyFont="1" applyFill="1" applyBorder="1" applyAlignment="1">
      <alignment horizontal="right" vertical="top"/>
    </xf>
    <xf numFmtId="0" fontId="18" fillId="0" borderId="9" xfId="0" applyFont="1" applyBorder="1" applyAlignment="1">
      <alignment/>
    </xf>
    <xf numFmtId="0" fontId="28" fillId="0" borderId="0" xfId="0" applyFont="1" applyFill="1" applyBorder="1" applyAlignment="1" quotePrefix="1">
      <alignment horizontal="left"/>
    </xf>
    <xf numFmtId="0" fontId="32" fillId="0" borderId="0" xfId="0" applyFont="1" applyBorder="1" applyAlignment="1">
      <alignment wrapText="1"/>
    </xf>
    <xf numFmtId="0" fontId="32" fillId="0" borderId="0" xfId="0" applyFont="1" applyAlignment="1">
      <alignment wrapText="1"/>
    </xf>
    <xf numFmtId="41" fontId="28" fillId="0" borderId="0" xfId="0" applyNumberFormat="1" applyFont="1" applyFill="1" applyBorder="1" applyAlignment="1">
      <alignment horizontal="right"/>
    </xf>
    <xf numFmtId="0" fontId="28" fillId="0" borderId="0" xfId="0" applyFont="1" applyFill="1" applyBorder="1" applyAlignment="1">
      <alignment horizontal="left" wrapText="1"/>
    </xf>
    <xf numFmtId="41" fontId="28" fillId="0" borderId="0" xfId="0" applyNumberFormat="1" applyFont="1" applyFill="1" applyBorder="1" applyAlignment="1">
      <alignment horizontal="center" vertical="center"/>
    </xf>
    <xf numFmtId="0" fontId="14" fillId="0" borderId="0" xfId="0" applyFont="1" applyBorder="1" applyAlignment="1" quotePrefix="1">
      <alignment horizontal="left" vertical="center"/>
    </xf>
    <xf numFmtId="0" fontId="14" fillId="0" borderId="0" xfId="0" applyFont="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26" fillId="0" borderId="0" xfId="0" applyFont="1" applyFill="1" applyBorder="1" applyAlignment="1">
      <alignment horizontal="left" vertical="center"/>
    </xf>
    <xf numFmtId="0" fontId="17" fillId="0" borderId="0" xfId="0" applyFont="1" applyBorder="1" applyAlignment="1" quotePrefix="1">
      <alignment/>
    </xf>
    <xf numFmtId="3" fontId="17" fillId="0" borderId="0" xfId="0" applyNumberFormat="1" applyFont="1" applyBorder="1" applyAlignment="1">
      <alignment/>
    </xf>
    <xf numFmtId="164" fontId="17" fillId="0" borderId="2" xfId="15" applyNumberFormat="1" applyFont="1" applyBorder="1" applyAlignment="1">
      <alignment horizontal="right"/>
    </xf>
    <xf numFmtId="41" fontId="17" fillId="0" borderId="2" xfId="0" applyNumberFormat="1" applyFont="1" applyFill="1" applyBorder="1" applyAlignment="1">
      <alignment horizontal="right"/>
    </xf>
    <xf numFmtId="0" fontId="17" fillId="0" borderId="9" xfId="0" applyFont="1" applyBorder="1" applyAlignment="1">
      <alignment/>
    </xf>
    <xf numFmtId="0" fontId="17" fillId="0" borderId="8" xfId="0" applyFont="1" applyBorder="1" applyAlignment="1">
      <alignment/>
    </xf>
    <xf numFmtId="0" fontId="14" fillId="0" borderId="8" xfId="0" applyFont="1" applyBorder="1" applyAlignment="1">
      <alignment horizontal="left"/>
    </xf>
    <xf numFmtId="41" fontId="14" fillId="0" borderId="8" xfId="0" applyNumberFormat="1" applyFont="1" applyFill="1" applyBorder="1" applyAlignment="1">
      <alignment horizontal="right"/>
    </xf>
    <xf numFmtId="164" fontId="17" fillId="0" borderId="2" xfId="15" applyNumberFormat="1" applyFont="1" applyBorder="1" applyAlignment="1">
      <alignment horizontal="left"/>
    </xf>
    <xf numFmtId="164" fontId="17" fillId="0" borderId="0" xfId="15" applyNumberFormat="1" applyFont="1" applyBorder="1" applyAlignment="1">
      <alignment horizontal="right"/>
    </xf>
    <xf numFmtId="0" fontId="17" fillId="0" borderId="8" xfId="0" applyFont="1" applyBorder="1" applyAlignment="1">
      <alignment horizontal="left"/>
    </xf>
    <xf numFmtId="0" fontId="17" fillId="0" borderId="0" xfId="31" applyFont="1" applyBorder="1" applyAlignment="1" quotePrefix="1">
      <alignment horizontal="left"/>
      <protection/>
    </xf>
    <xf numFmtId="0" fontId="14" fillId="0" borderId="4" xfId="0" applyFont="1" applyBorder="1" applyAlignment="1">
      <alignment horizontal="left" vertical="center"/>
    </xf>
    <xf numFmtId="0" fontId="14" fillId="0" borderId="4" xfId="0" applyFont="1" applyBorder="1" applyAlignment="1" quotePrefix="1">
      <alignment horizontal="left" vertical="center"/>
    </xf>
    <xf numFmtId="164" fontId="17" fillId="0" borderId="4" xfId="15" applyNumberFormat="1" applyFont="1" applyBorder="1" applyAlignment="1">
      <alignment horizontal="right" vertical="center"/>
    </xf>
    <xf numFmtId="41" fontId="14" fillId="0" borderId="0" xfId="0" applyNumberFormat="1" applyFont="1" applyBorder="1" applyAlignment="1">
      <alignment horizontal="right" vertical="center"/>
    </xf>
    <xf numFmtId="41" fontId="14" fillId="0" borderId="0" xfId="15" applyNumberFormat="1" applyFont="1" applyFill="1" applyBorder="1" applyAlignment="1">
      <alignment horizontal="right"/>
    </xf>
    <xf numFmtId="41" fontId="27" fillId="0" borderId="0" xfId="15" applyNumberFormat="1" applyFont="1" applyBorder="1" applyAlignment="1" quotePrefix="1">
      <alignment horizontal="right"/>
    </xf>
    <xf numFmtId="41" fontId="14" fillId="0" borderId="0" xfId="15" applyNumberFormat="1" applyFont="1" applyBorder="1" applyAlignment="1" quotePrefix="1">
      <alignment horizontal="right"/>
    </xf>
    <xf numFmtId="41" fontId="17" fillId="0" borderId="4" xfId="0" applyNumberFormat="1" applyFont="1" applyBorder="1" applyAlignment="1">
      <alignment vertical="center"/>
    </xf>
    <xf numFmtId="0" fontId="14" fillId="0" borderId="4" xfId="0" applyFont="1" applyBorder="1" applyAlignment="1" quotePrefix="1">
      <alignment horizontal="left"/>
    </xf>
    <xf numFmtId="0" fontId="17" fillId="0" borderId="0" xfId="0" applyFont="1" applyBorder="1" applyAlignment="1" quotePrefix="1">
      <alignment horizontal="left" vertical="center"/>
    </xf>
    <xf numFmtId="0" fontId="17" fillId="0" borderId="2" xfId="0" applyFont="1" applyBorder="1" applyAlignment="1">
      <alignment horizontal="left" vertical="center"/>
    </xf>
    <xf numFmtId="3" fontId="17" fillId="0" borderId="2" xfId="15" applyNumberFormat="1"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quotePrefix="1">
      <alignment horizontal="left" vertical="top"/>
    </xf>
    <xf numFmtId="3" fontId="17" fillId="0" borderId="0" xfId="15" applyNumberFormat="1" applyFont="1" applyBorder="1" applyAlignment="1">
      <alignment horizontal="justify" vertical="top"/>
    </xf>
    <xf numFmtId="41" fontId="17" fillId="0" borderId="0" xfId="15" applyNumberFormat="1" applyFont="1" applyBorder="1" applyAlignment="1" quotePrefix="1">
      <alignment horizontal="right" vertical="top"/>
    </xf>
    <xf numFmtId="41" fontId="17" fillId="0" borderId="0" xfId="15" applyNumberFormat="1" applyFont="1" applyBorder="1" applyAlignment="1">
      <alignment horizontal="right" vertical="top"/>
    </xf>
    <xf numFmtId="41" fontId="17" fillId="0" borderId="0" xfId="15" applyNumberFormat="1" applyFont="1" applyBorder="1" applyAlignment="1" quotePrefix="1">
      <alignment horizontal="right" vertical="center"/>
    </xf>
    <xf numFmtId="3" fontId="14" fillId="0" borderId="0" xfId="15" applyNumberFormat="1" applyFont="1" applyBorder="1" applyAlignment="1" quotePrefix="1">
      <alignment horizontal="justify" vertical="center"/>
    </xf>
    <xf numFmtId="41" fontId="17" fillId="0" borderId="0" xfId="15" applyNumberFormat="1" applyFont="1" applyBorder="1" applyAlignment="1">
      <alignment horizontal="right" vertical="center"/>
    </xf>
    <xf numFmtId="3" fontId="14" fillId="0" borderId="0" xfId="15" applyNumberFormat="1" applyFont="1" applyBorder="1" applyAlignment="1" quotePrefix="1">
      <alignment horizontal="left" vertical="center"/>
    </xf>
    <xf numFmtId="41" fontId="28" fillId="0" borderId="0" xfId="15" applyNumberFormat="1" applyFont="1" applyBorder="1" applyAlignment="1" quotePrefix="1">
      <alignment horizontal="right"/>
    </xf>
    <xf numFmtId="0" fontId="18" fillId="0" borderId="0" xfId="0" applyFont="1" applyAlignment="1">
      <alignment horizontal="justify" vertical="center"/>
    </xf>
    <xf numFmtId="41" fontId="17" fillId="0" borderId="0" xfId="15" applyNumberFormat="1" applyFont="1" applyBorder="1" applyAlignment="1" quotePrefix="1">
      <alignment horizontal="right"/>
    </xf>
    <xf numFmtId="0" fontId="14" fillId="0" borderId="8" xfId="0" applyFont="1" applyFill="1" applyBorder="1" applyAlignment="1">
      <alignment horizontal="justify"/>
    </xf>
    <xf numFmtId="0" fontId="17" fillId="0" borderId="0" xfId="0" applyFont="1" applyBorder="1" applyAlignment="1">
      <alignment horizontal="left" vertical="center"/>
    </xf>
    <xf numFmtId="0" fontId="28" fillId="0" borderId="0" xfId="0" applyFont="1" applyBorder="1" applyAlignment="1">
      <alignment horizontal="justify" vertical="center"/>
    </xf>
    <xf numFmtId="41" fontId="28" fillId="0" borderId="0" xfId="0" applyNumberFormat="1" applyFont="1" applyAlignment="1">
      <alignment horizontal="center"/>
    </xf>
    <xf numFmtId="0" fontId="17" fillId="0" borderId="0" xfId="0" applyFont="1" applyAlignment="1">
      <alignment horizontal="center"/>
    </xf>
    <xf numFmtId="41" fontId="17" fillId="0" borderId="0" xfId="0" applyNumberFormat="1" applyFont="1" applyAlignment="1">
      <alignment horizontal="center"/>
    </xf>
    <xf numFmtId="41" fontId="27" fillId="2" borderId="0" xfId="0" applyNumberFormat="1" applyFont="1" applyFill="1" applyBorder="1" applyAlignment="1">
      <alignment horizontal="right"/>
    </xf>
    <xf numFmtId="0" fontId="14" fillId="2" borderId="0" xfId="0" applyFont="1" applyFill="1" applyBorder="1" applyAlignment="1">
      <alignment horizontal="left" vertical="center"/>
    </xf>
    <xf numFmtId="0" fontId="14" fillId="0" borderId="0" xfId="0" applyFont="1" applyAlignment="1">
      <alignment vertical="center"/>
    </xf>
    <xf numFmtId="0" fontId="14" fillId="0" borderId="0" xfId="0" applyNumberFormat="1" applyFont="1" applyAlignment="1">
      <alignment horizontal="center"/>
    </xf>
    <xf numFmtId="0" fontId="17" fillId="0" borderId="0" xfId="0" applyNumberFormat="1" applyFont="1" applyAlignment="1">
      <alignment horizontal="center"/>
    </xf>
    <xf numFmtId="164" fontId="14" fillId="0" borderId="0" xfId="15" applyNumberFormat="1" applyFont="1" applyBorder="1" applyAlignment="1">
      <alignment/>
    </xf>
    <xf numFmtId="37" fontId="14" fillId="0" borderId="2" xfId="0" applyNumberFormat="1" applyFont="1" applyBorder="1" applyAlignment="1">
      <alignment/>
    </xf>
    <xf numFmtId="0" fontId="14" fillId="0" borderId="2" xfId="0" applyNumberFormat="1" applyFont="1" applyBorder="1" applyAlignment="1">
      <alignment horizontal="center"/>
    </xf>
    <xf numFmtId="0" fontId="17" fillId="0" borderId="2" xfId="0" applyNumberFormat="1" applyFont="1" applyBorder="1" applyAlignment="1">
      <alignment horizontal="center"/>
    </xf>
    <xf numFmtId="164" fontId="14" fillId="0" borderId="9" xfId="27" applyNumberFormat="1" applyFont="1" applyBorder="1" applyAlignment="1">
      <alignment vertical="center"/>
      <protection/>
    </xf>
    <xf numFmtId="0" fontId="14" fillId="0" borderId="9" xfId="27" applyNumberFormat="1" applyFont="1" applyBorder="1" applyAlignment="1">
      <alignment horizontal="center" vertical="center"/>
      <protection/>
    </xf>
    <xf numFmtId="0" fontId="17" fillId="0" borderId="9" xfId="27" applyNumberFormat="1" applyFont="1" applyBorder="1" applyAlignment="1">
      <alignment horizontal="center" vertical="center"/>
      <protection/>
    </xf>
    <xf numFmtId="164" fontId="28" fillId="0" borderId="9" xfId="15" applyNumberFormat="1" applyFont="1" applyBorder="1" applyAlignment="1">
      <alignment horizontal="centerContinuous" vertical="center"/>
    </xf>
    <xf numFmtId="164" fontId="17" fillId="0" borderId="0" xfId="27" applyNumberFormat="1" applyFont="1" applyBorder="1" applyAlignment="1">
      <alignment horizontal="left"/>
      <protection/>
    </xf>
    <xf numFmtId="0" fontId="17" fillId="0" borderId="0" xfId="27" applyNumberFormat="1" applyFont="1" applyBorder="1" applyAlignment="1">
      <alignment horizontal="center"/>
      <protection/>
    </xf>
    <xf numFmtId="164" fontId="17" fillId="0" borderId="0" xfId="15" applyNumberFormat="1" applyFont="1" applyBorder="1" applyAlignment="1">
      <alignment horizontal="center"/>
    </xf>
    <xf numFmtId="164" fontId="17" fillId="0" borderId="5" xfId="27" applyNumberFormat="1" applyFont="1" applyBorder="1" applyAlignment="1">
      <alignment horizontal="left" indent="1"/>
      <protection/>
    </xf>
    <xf numFmtId="164" fontId="17" fillId="0" borderId="0" xfId="27" applyNumberFormat="1" applyFont="1" applyBorder="1" applyAlignment="1">
      <alignment horizontal="left" indent="1"/>
      <protection/>
    </xf>
    <xf numFmtId="0" fontId="17" fillId="0" borderId="5" xfId="27" applyNumberFormat="1" applyFont="1" applyBorder="1" applyAlignment="1">
      <alignment horizontal="center"/>
      <protection/>
    </xf>
    <xf numFmtId="164" fontId="17" fillId="0" borderId="5" xfId="15" applyNumberFormat="1" applyFont="1" applyBorder="1" applyAlignment="1">
      <alignment horizontal="center"/>
    </xf>
    <xf numFmtId="0" fontId="17" fillId="0" borderId="0" xfId="27" applyNumberFormat="1" applyFont="1" applyBorder="1" applyAlignment="1" quotePrefix="1">
      <alignment horizontal="center"/>
      <protection/>
    </xf>
    <xf numFmtId="164" fontId="14" fillId="0" borderId="0" xfId="27" applyNumberFormat="1" applyFont="1" applyBorder="1" applyAlignment="1">
      <alignment horizontal="left" indent="2"/>
      <protection/>
    </xf>
    <xf numFmtId="0" fontId="14" fillId="0" borderId="0" xfId="27" applyNumberFormat="1" applyFont="1" applyBorder="1" applyAlignment="1">
      <alignment horizontal="center"/>
      <protection/>
    </xf>
    <xf numFmtId="164" fontId="14" fillId="0" borderId="0" xfId="15" applyNumberFormat="1" applyFont="1" applyBorder="1" applyAlignment="1" quotePrefix="1">
      <alignment horizontal="center"/>
    </xf>
    <xf numFmtId="0" fontId="14" fillId="0" borderId="0" xfId="27" applyNumberFormat="1" applyFont="1" applyBorder="1" applyAlignment="1" quotePrefix="1">
      <alignment horizontal="center"/>
      <protection/>
    </xf>
    <xf numFmtId="164" fontId="17" fillId="0" borderId="6" xfId="27" applyNumberFormat="1" applyFont="1" applyBorder="1" applyAlignment="1">
      <alignment horizontal="left" indent="1"/>
      <protection/>
    </xf>
    <xf numFmtId="0" fontId="17" fillId="0" borderId="6" xfId="27" applyNumberFormat="1" applyFont="1" applyBorder="1" applyAlignment="1">
      <alignment horizontal="center"/>
      <protection/>
    </xf>
    <xf numFmtId="164" fontId="28" fillId="0" borderId="6" xfId="15" applyNumberFormat="1" applyFont="1" applyBorder="1" applyAlignment="1">
      <alignment horizontal="center"/>
    </xf>
    <xf numFmtId="164" fontId="26" fillId="0" borderId="6" xfId="15" applyNumberFormat="1" applyFont="1" applyBorder="1" applyAlignment="1">
      <alignment/>
    </xf>
    <xf numFmtId="164" fontId="26" fillId="0" borderId="0" xfId="15" applyNumberFormat="1" applyFont="1" applyBorder="1" applyAlignment="1">
      <alignment/>
    </xf>
    <xf numFmtId="164" fontId="14" fillId="0" borderId="5" xfId="15" applyNumberFormat="1" applyFont="1" applyBorder="1" applyAlignment="1">
      <alignment horizontal="center"/>
    </xf>
    <xf numFmtId="164" fontId="14" fillId="0" borderId="6" xfId="15" applyNumberFormat="1" applyFont="1" applyBorder="1" applyAlignment="1">
      <alignment horizontal="center"/>
    </xf>
    <xf numFmtId="164" fontId="17" fillId="0" borderId="6" xfId="15" applyNumberFormat="1" applyFont="1" applyBorder="1" applyAlignment="1">
      <alignment/>
    </xf>
    <xf numFmtId="164" fontId="28" fillId="0" borderId="0" xfId="15" applyNumberFormat="1" applyFont="1" applyBorder="1" applyAlignment="1">
      <alignment horizontal="center"/>
    </xf>
    <xf numFmtId="0" fontId="14" fillId="0" borderId="0" xfId="0" applyNumberFormat="1" applyFont="1" applyAlignment="1" quotePrefix="1">
      <alignment horizontal="center"/>
    </xf>
    <xf numFmtId="164" fontId="17" fillId="0" borderId="3" xfId="27" applyNumberFormat="1" applyFont="1" applyBorder="1" applyAlignment="1">
      <alignment horizontal="left"/>
      <protection/>
    </xf>
    <xf numFmtId="0" fontId="17" fillId="0" borderId="3" xfId="27" applyNumberFormat="1" applyFont="1" applyBorder="1" applyAlignment="1">
      <alignment horizontal="center"/>
      <protection/>
    </xf>
    <xf numFmtId="164" fontId="14" fillId="0" borderId="3" xfId="15" applyNumberFormat="1" applyFont="1" applyBorder="1" applyAlignment="1">
      <alignment horizontal="center"/>
    </xf>
    <xf numFmtId="164" fontId="17" fillId="0" borderId="7" xfId="27" applyNumberFormat="1" applyFont="1" applyBorder="1" applyAlignment="1">
      <alignment horizontal="left" indent="1"/>
      <protection/>
    </xf>
    <xf numFmtId="0" fontId="17" fillId="0" borderId="7" xfId="27" applyNumberFormat="1" applyFont="1" applyBorder="1" applyAlignment="1">
      <alignment horizontal="center"/>
      <protection/>
    </xf>
    <xf numFmtId="164" fontId="17" fillId="0" borderId="7" xfId="15" applyNumberFormat="1" applyFont="1" applyBorder="1" applyAlignment="1">
      <alignment/>
    </xf>
    <xf numFmtId="164" fontId="14" fillId="0" borderId="7" xfId="27" applyNumberFormat="1" applyFont="1" applyBorder="1" applyAlignment="1">
      <alignment horizontal="left" indent="1"/>
      <protection/>
    </xf>
    <xf numFmtId="0" fontId="14" fillId="0" borderId="7" xfId="27" applyNumberFormat="1" applyFont="1" applyBorder="1" applyAlignment="1">
      <alignment horizontal="center"/>
      <protection/>
    </xf>
    <xf numFmtId="164" fontId="14" fillId="0" borderId="7" xfId="15" applyNumberFormat="1" applyFont="1" applyBorder="1" applyAlignment="1" quotePrefix="1">
      <alignment horizontal="center"/>
    </xf>
    <xf numFmtId="164" fontId="14" fillId="0" borderId="0" xfId="27" applyNumberFormat="1" applyFont="1" applyBorder="1" applyAlignment="1" quotePrefix="1">
      <alignment horizontal="left" indent="3"/>
      <protection/>
    </xf>
    <xf numFmtId="164" fontId="14" fillId="0" borderId="7" xfId="27" applyNumberFormat="1" applyFont="1" applyBorder="1" applyAlignment="1" quotePrefix="1">
      <alignment horizontal="left" indent="3"/>
      <protection/>
    </xf>
    <xf numFmtId="164" fontId="14" fillId="0" borderId="7" xfId="15" applyNumberFormat="1" applyFont="1" applyBorder="1" applyAlignment="1">
      <alignment horizontal="center"/>
    </xf>
    <xf numFmtId="164" fontId="14" fillId="0" borderId="0" xfId="27" applyNumberFormat="1" applyFont="1" applyBorder="1" applyAlignment="1">
      <alignment horizontal="left" indent="1"/>
      <protection/>
    </xf>
    <xf numFmtId="164" fontId="14" fillId="0" borderId="6" xfId="15" applyNumberFormat="1" applyFont="1" applyBorder="1" applyAlignment="1">
      <alignment/>
    </xf>
    <xf numFmtId="164" fontId="14" fillId="0" borderId="6" xfId="15" applyNumberFormat="1" applyFont="1" applyBorder="1" applyAlignment="1" quotePrefix="1">
      <alignment horizontal="center"/>
    </xf>
    <xf numFmtId="164" fontId="17" fillId="0" borderId="6" xfId="15" applyNumberFormat="1" applyFont="1" applyBorder="1" applyAlignment="1">
      <alignment/>
    </xf>
    <xf numFmtId="164" fontId="17" fillId="0" borderId="0" xfId="15" applyNumberFormat="1" applyFont="1" applyBorder="1" applyAlignment="1">
      <alignment/>
    </xf>
    <xf numFmtId="164" fontId="26" fillId="0" borderId="0" xfId="15" applyNumberFormat="1" applyFont="1" applyBorder="1" applyAlignment="1">
      <alignment horizontal="right"/>
    </xf>
    <xf numFmtId="164" fontId="26" fillId="0" borderId="0" xfId="15" applyNumberFormat="1" applyFont="1" applyBorder="1" applyAlignment="1">
      <alignment/>
    </xf>
    <xf numFmtId="164" fontId="17" fillId="0" borderId="11" xfId="27" applyNumberFormat="1" applyFont="1" applyBorder="1" applyAlignment="1">
      <alignment horizontal="left" indent="1"/>
      <protection/>
    </xf>
    <xf numFmtId="164" fontId="14" fillId="0" borderId="11" xfId="15" applyNumberFormat="1" applyFont="1" applyBorder="1" applyAlignment="1">
      <alignment horizontal="center"/>
    </xf>
    <xf numFmtId="164" fontId="17" fillId="0" borderId="11" xfId="15" applyNumberFormat="1" applyFont="1" applyBorder="1" applyAlignment="1">
      <alignment/>
    </xf>
    <xf numFmtId="164" fontId="17" fillId="0" borderId="2" xfId="27" applyNumberFormat="1" applyFont="1" applyBorder="1" applyAlignment="1">
      <alignment horizontal="left"/>
      <protection/>
    </xf>
    <xf numFmtId="0" fontId="17" fillId="0" borderId="2" xfId="27" applyNumberFormat="1" applyFont="1" applyBorder="1" applyAlignment="1">
      <alignment horizontal="center"/>
      <protection/>
    </xf>
    <xf numFmtId="164" fontId="14" fillId="0" borderId="2" xfId="15" applyNumberFormat="1" applyFont="1" applyBorder="1" applyAlignment="1">
      <alignment horizontal="center"/>
    </xf>
    <xf numFmtId="164" fontId="17" fillId="0" borderId="8" xfId="27" applyNumberFormat="1" applyFont="1" applyBorder="1" applyAlignment="1">
      <alignment horizontal="center" vertical="center"/>
      <protection/>
    </xf>
    <xf numFmtId="0" fontId="17" fillId="0" borderId="8" xfId="27" applyNumberFormat="1" applyFont="1" applyBorder="1" applyAlignment="1">
      <alignment horizontal="center" vertical="center"/>
      <protection/>
    </xf>
    <xf numFmtId="164" fontId="14" fillId="0" borderId="8" xfId="15" applyNumberFormat="1" applyFont="1" applyBorder="1" applyAlignment="1">
      <alignment horizontal="center" vertical="center"/>
    </xf>
    <xf numFmtId="164" fontId="17" fillId="0" borderId="8" xfId="15" applyNumberFormat="1" applyFont="1" applyBorder="1" applyAlignment="1">
      <alignment horizontal="right" vertical="center"/>
    </xf>
    <xf numFmtId="164" fontId="17" fillId="0" borderId="8" xfId="15" applyNumberFormat="1" applyFont="1" applyBorder="1" applyAlignment="1">
      <alignment vertical="center"/>
    </xf>
    <xf numFmtId="164" fontId="17" fillId="0" borderId="0" xfId="27" applyNumberFormat="1" applyFont="1" applyBorder="1" applyAlignment="1">
      <alignment horizontal="center" vertical="center"/>
      <protection/>
    </xf>
    <xf numFmtId="0" fontId="17" fillId="0" borderId="0" xfId="27" applyNumberFormat="1" applyFont="1" applyBorder="1" applyAlignment="1">
      <alignment horizontal="center" vertical="center"/>
      <protection/>
    </xf>
    <xf numFmtId="164" fontId="14" fillId="0" borderId="0" xfId="15" applyNumberFormat="1" applyFont="1" applyBorder="1" applyAlignment="1">
      <alignment horizontal="center" vertical="center"/>
    </xf>
    <xf numFmtId="164" fontId="17" fillId="0" borderId="0" xfId="15" applyNumberFormat="1" applyFont="1" applyBorder="1" applyAlignment="1">
      <alignment horizontal="right" vertical="center"/>
    </xf>
    <xf numFmtId="164" fontId="17" fillId="0" borderId="0" xfId="15" applyNumberFormat="1" applyFont="1" applyBorder="1" applyAlignment="1">
      <alignment vertical="center"/>
    </xf>
    <xf numFmtId="164" fontId="17" fillId="0" borderId="2" xfId="15" applyNumberFormat="1" applyFont="1" applyBorder="1" applyAlignment="1">
      <alignment horizontal="center"/>
    </xf>
    <xf numFmtId="164" fontId="17" fillId="0" borderId="7" xfId="15" applyNumberFormat="1" applyFont="1" applyBorder="1" applyAlignment="1">
      <alignment horizontal="center"/>
    </xf>
    <xf numFmtId="164" fontId="17" fillId="0" borderId="5" xfId="27" applyNumberFormat="1" applyFont="1" applyBorder="1" applyAlignment="1">
      <alignment horizontal="left"/>
      <protection/>
    </xf>
    <xf numFmtId="164" fontId="14" fillId="0" borderId="0" xfId="27" applyNumberFormat="1" applyFont="1" applyBorder="1" applyAlignment="1">
      <alignment horizontal="left"/>
      <protection/>
    </xf>
    <xf numFmtId="164" fontId="14" fillId="0" borderId="0" xfId="27" applyNumberFormat="1" applyFont="1" applyBorder="1" applyAlignment="1">
      <alignment vertical="center"/>
      <protection/>
    </xf>
    <xf numFmtId="0" fontId="14" fillId="0" borderId="0" xfId="27" applyNumberFormat="1" applyFont="1" applyAlignment="1">
      <alignment horizontal="center" vertical="center"/>
      <protection/>
    </xf>
    <xf numFmtId="164" fontId="14" fillId="0" borderId="0" xfId="15" applyNumberFormat="1" applyFont="1" applyAlignment="1">
      <alignment vertical="center"/>
    </xf>
    <xf numFmtId="164" fontId="14" fillId="0" borderId="0" xfId="15" applyNumberFormat="1" applyFont="1" applyBorder="1" applyAlignment="1">
      <alignment vertical="center"/>
    </xf>
    <xf numFmtId="0" fontId="17" fillId="0" borderId="0" xfId="0" applyFont="1" applyBorder="1" applyAlignment="1">
      <alignment/>
    </xf>
    <xf numFmtId="0" fontId="14" fillId="0" borderId="0" xfId="0" applyFont="1" applyBorder="1" applyAlignment="1">
      <alignment/>
    </xf>
    <xf numFmtId="164" fontId="17" fillId="0" borderId="0" xfId="27" applyNumberFormat="1" applyFont="1" applyBorder="1" applyAlignment="1">
      <alignment horizontal="left" vertical="center" indent="2"/>
      <protection/>
    </xf>
    <xf numFmtId="0" fontId="14" fillId="0" borderId="0" xfId="27" applyNumberFormat="1" applyFont="1" applyAlignment="1">
      <alignment horizontal="center"/>
      <protection/>
    </xf>
    <xf numFmtId="164" fontId="17" fillId="0" borderId="0" xfId="27" applyNumberFormat="1" applyFont="1" applyBorder="1" applyAlignment="1">
      <alignment horizontal="left" vertical="center" indent="6"/>
      <protection/>
    </xf>
    <xf numFmtId="164" fontId="17" fillId="0" borderId="0" xfId="15" applyNumberFormat="1" applyFont="1" applyAlignment="1">
      <alignment horizontal="left" vertical="center" indent="5"/>
    </xf>
    <xf numFmtId="164" fontId="17" fillId="0" borderId="0" xfId="15" applyNumberFormat="1" applyFont="1" applyBorder="1" applyAlignment="1">
      <alignment horizontal="left" vertical="center" indent="5"/>
    </xf>
    <xf numFmtId="37" fontId="14" fillId="0" borderId="2" xfId="30" applyNumberFormat="1" applyFont="1" applyBorder="1" applyAlignment="1">
      <alignment horizontal="left"/>
      <protection/>
    </xf>
    <xf numFmtId="37" fontId="17" fillId="0" borderId="2" xfId="30" applyNumberFormat="1" applyFont="1" applyBorder="1" applyAlignment="1">
      <alignment horizontal="center"/>
      <protection/>
    </xf>
    <xf numFmtId="37" fontId="14" fillId="0" borderId="2" xfId="30" applyNumberFormat="1" applyFont="1" applyBorder="1" applyAlignment="1">
      <alignment horizontal="center"/>
      <protection/>
    </xf>
    <xf numFmtId="37" fontId="17" fillId="0" borderId="3" xfId="0" applyNumberFormat="1" applyFont="1" applyBorder="1" applyAlignment="1">
      <alignment/>
    </xf>
    <xf numFmtId="164" fontId="15" fillId="0" borderId="0" xfId="29" applyNumberFormat="1" applyFont="1" applyAlignment="1">
      <alignment horizontal="right"/>
      <protection/>
    </xf>
    <xf numFmtId="164" fontId="15" fillId="0" borderId="0" xfId="29" applyNumberFormat="1" applyFont="1" applyBorder="1" applyAlignment="1">
      <alignment horizontal="right"/>
      <protection/>
    </xf>
    <xf numFmtId="164" fontId="17" fillId="0" borderId="0" xfId="15" applyNumberFormat="1" applyFont="1" applyAlignment="1">
      <alignment horizontal="right"/>
    </xf>
    <xf numFmtId="37" fontId="17" fillId="0" borderId="0" xfId="29" applyNumberFormat="1" applyFont="1" applyAlignment="1">
      <alignment horizontal="right"/>
      <protection/>
    </xf>
    <xf numFmtId="37" fontId="17" fillId="0" borderId="0" xfId="29" applyNumberFormat="1" applyFont="1" applyBorder="1" applyAlignment="1">
      <alignment horizontal="right"/>
      <protection/>
    </xf>
    <xf numFmtId="37" fontId="14" fillId="0" borderId="2" xfId="30" applyNumberFormat="1" applyFont="1" applyBorder="1" applyAlignment="1">
      <alignment horizontal="right"/>
      <protection/>
    </xf>
    <xf numFmtId="37" fontId="14" fillId="0" borderId="0" xfId="30" applyNumberFormat="1" applyFont="1" applyBorder="1" applyAlignment="1">
      <alignment horizontal="left" vertical="center"/>
      <protection/>
    </xf>
    <xf numFmtId="37" fontId="14" fillId="0" borderId="0" xfId="30" applyNumberFormat="1" applyFont="1" applyBorder="1" applyAlignment="1">
      <alignment horizontal="right" vertical="center"/>
      <protection/>
    </xf>
    <xf numFmtId="164" fontId="14" fillId="0" borderId="6" xfId="15" applyNumberFormat="1" applyFont="1" applyBorder="1" applyAlignment="1">
      <alignment horizontal="right"/>
    </xf>
    <xf numFmtId="37" fontId="17" fillId="0" borderId="8" xfId="28" applyNumberFormat="1" applyFont="1" applyBorder="1" applyAlignment="1">
      <alignment horizontal="center"/>
      <protection/>
    </xf>
    <xf numFmtId="37" fontId="14" fillId="0" borderId="8" xfId="28" applyNumberFormat="1" applyFont="1" applyBorder="1" applyAlignment="1">
      <alignment horizontal="center"/>
      <protection/>
    </xf>
    <xf numFmtId="37" fontId="17" fillId="0" borderId="8" xfId="28" applyNumberFormat="1" applyFont="1" applyBorder="1" applyAlignment="1">
      <alignment horizontal="right"/>
      <protection/>
    </xf>
    <xf numFmtId="164" fontId="17" fillId="0" borderId="8" xfId="15" applyNumberFormat="1" applyFont="1" applyBorder="1" applyAlignment="1">
      <alignment horizontal="right"/>
    </xf>
    <xf numFmtId="37" fontId="14" fillId="0" borderId="0" xfId="28" applyNumberFormat="1" applyFont="1" applyAlignment="1">
      <alignment vertical="center"/>
      <protection/>
    </xf>
    <xf numFmtId="37" fontId="14" fillId="0" borderId="0" xfId="28" applyNumberFormat="1" applyFont="1" applyAlignment="1">
      <alignment horizontal="right" vertical="center"/>
      <protection/>
    </xf>
    <xf numFmtId="37" fontId="14" fillId="0" borderId="0" xfId="28" applyNumberFormat="1" applyFont="1" applyBorder="1" applyAlignment="1">
      <alignment horizontal="right" vertical="center"/>
      <protection/>
    </xf>
    <xf numFmtId="164" fontId="14" fillId="0" borderId="0" xfId="27" applyNumberFormat="1" applyFont="1" applyAlignment="1">
      <alignment vertical="center"/>
      <protection/>
    </xf>
    <xf numFmtId="0" fontId="14" fillId="0" borderId="0" xfId="0" applyFont="1" applyAlignment="1">
      <alignment horizontal="left" indent="6"/>
    </xf>
    <xf numFmtId="0" fontId="14" fillId="0" borderId="0" xfId="0" applyFont="1" applyAlignment="1">
      <alignment horizontal="right"/>
    </xf>
    <xf numFmtId="0" fontId="14" fillId="0" borderId="0" xfId="0" applyFont="1" applyBorder="1" applyAlignment="1">
      <alignment horizontal="right"/>
    </xf>
    <xf numFmtId="37" fontId="34" fillId="0" borderId="0" xfId="0" applyNumberFormat="1" applyFont="1" applyBorder="1" applyAlignment="1">
      <alignment/>
    </xf>
    <xf numFmtId="0" fontId="14" fillId="0" borderId="8" xfId="0" applyFont="1" applyBorder="1" applyAlignment="1">
      <alignment horizontal="left" indent="2"/>
    </xf>
    <xf numFmtId="0" fontId="14" fillId="0" borderId="8" xfId="0" applyNumberFormat="1" applyFont="1" applyBorder="1" applyAlignment="1">
      <alignment horizontal="center"/>
    </xf>
    <xf numFmtId="0" fontId="17" fillId="0" borderId="8" xfId="0" applyNumberFormat="1" applyFont="1" applyFill="1" applyBorder="1" applyAlignment="1">
      <alignment horizontal="center"/>
    </xf>
    <xf numFmtId="164" fontId="14" fillId="0" borderId="8" xfId="15" applyNumberFormat="1" applyFont="1" applyBorder="1" applyAlignment="1">
      <alignment/>
    </xf>
    <xf numFmtId="0" fontId="14" fillId="0" borderId="0" xfId="0" applyFont="1" applyBorder="1" applyAlignment="1">
      <alignment wrapText="1"/>
    </xf>
    <xf numFmtId="0" fontId="17" fillId="0" borderId="8" xfId="0" applyFont="1" applyBorder="1" applyAlignment="1">
      <alignment horizontal="center"/>
    </xf>
    <xf numFmtId="0" fontId="17" fillId="0" borderId="3" xfId="0" applyFont="1" applyFill="1" applyBorder="1" applyAlignment="1">
      <alignment horizontal="center" vertical="center"/>
    </xf>
    <xf numFmtId="0" fontId="14" fillId="0" borderId="0" xfId="0" applyFont="1" applyBorder="1" applyAlignment="1" quotePrefix="1">
      <alignment horizontal="left" wrapText="1"/>
    </xf>
    <xf numFmtId="41" fontId="14" fillId="0" borderId="2" xfId="15" applyNumberFormat="1" applyFont="1" applyFill="1" applyBorder="1" applyAlignment="1" quotePrefix="1">
      <alignment horizontal="right"/>
    </xf>
    <xf numFmtId="0" fontId="14" fillId="0" borderId="9" xfId="0" applyFont="1" applyFill="1" applyBorder="1" applyAlignment="1">
      <alignment horizontal="left"/>
    </xf>
    <xf numFmtId="41" fontId="14" fillId="0" borderId="9" xfId="0" applyNumberFormat="1" applyFont="1" applyBorder="1" applyAlignment="1">
      <alignment horizontal="right"/>
    </xf>
    <xf numFmtId="41" fontId="14" fillId="0" borderId="8" xfId="0" applyNumberFormat="1" applyFont="1" applyBorder="1" applyAlignment="1">
      <alignment/>
    </xf>
    <xf numFmtId="164" fontId="14" fillId="0" borderId="9" xfId="15" applyNumberFormat="1" applyFont="1" applyBorder="1" applyAlignment="1">
      <alignment horizontal="right"/>
    </xf>
    <xf numFmtId="164" fontId="17" fillId="0" borderId="12" xfId="27" applyNumberFormat="1" applyFont="1" applyFill="1" applyBorder="1" applyAlignment="1">
      <alignment horizontal="center" vertical="center"/>
      <protection/>
    </xf>
    <xf numFmtId="0" fontId="17" fillId="0" borderId="12" xfId="27" applyNumberFormat="1" applyFont="1" applyFill="1" applyBorder="1" applyAlignment="1">
      <alignment horizontal="center" vertical="center"/>
      <protection/>
    </xf>
    <xf numFmtId="0" fontId="17" fillId="0" borderId="12" xfId="27" applyNumberFormat="1" applyFont="1" applyFill="1" applyBorder="1" applyAlignment="1">
      <alignment horizontal="center" vertical="center" wrapText="1"/>
      <protection/>
    </xf>
    <xf numFmtId="164" fontId="17" fillId="0" borderId="12" xfId="15" applyNumberFormat="1" applyFont="1" applyFill="1" applyBorder="1" applyAlignment="1" quotePrefix="1">
      <alignment horizontal="right" vertical="center"/>
    </xf>
    <xf numFmtId="164" fontId="17" fillId="0" borderId="12" xfId="15" applyNumberFormat="1" applyFont="1" applyFill="1" applyBorder="1" applyAlignment="1">
      <alignment horizontal="center" vertical="center"/>
    </xf>
    <xf numFmtId="0" fontId="17" fillId="0" borderId="11" xfId="27" applyNumberFormat="1" applyFont="1" applyBorder="1" applyAlignment="1">
      <alignment horizontal="center"/>
      <protection/>
    </xf>
    <xf numFmtId="164" fontId="14" fillId="0" borderId="6" xfId="27" applyNumberFormat="1" applyFont="1" applyBorder="1" applyAlignment="1">
      <alignment horizontal="left" indent="1"/>
      <protection/>
    </xf>
    <xf numFmtId="164" fontId="14" fillId="0" borderId="6" xfId="27" applyNumberFormat="1" applyFont="1" applyBorder="1" applyAlignment="1">
      <alignment/>
      <protection/>
    </xf>
    <xf numFmtId="164" fontId="14" fillId="0" borderId="0" xfId="0" applyNumberFormat="1" applyFont="1" applyAlignment="1">
      <alignment/>
    </xf>
    <xf numFmtId="164" fontId="17" fillId="0" borderId="10" xfId="27" applyNumberFormat="1" applyFont="1" applyBorder="1" applyAlignment="1">
      <alignment horizontal="center" vertical="center"/>
      <protection/>
    </xf>
    <xf numFmtId="0" fontId="17" fillId="0" borderId="10" xfId="27" applyNumberFormat="1" applyFont="1" applyBorder="1" applyAlignment="1">
      <alignment horizontal="center" vertical="center"/>
      <protection/>
    </xf>
    <xf numFmtId="164" fontId="17" fillId="0" borderId="10" xfId="15" applyNumberFormat="1" applyFont="1" applyBorder="1" applyAlignment="1">
      <alignment horizontal="center" vertical="center"/>
    </xf>
    <xf numFmtId="164" fontId="17" fillId="0" borderId="10" xfId="15" applyNumberFormat="1" applyFont="1" applyBorder="1" applyAlignment="1">
      <alignment vertical="center"/>
    </xf>
    <xf numFmtId="0" fontId="14" fillId="0" borderId="0" xfId="0" applyNumberFormat="1" applyFont="1" applyAlignment="1">
      <alignment horizontal="center" vertical="center"/>
    </xf>
    <xf numFmtId="0" fontId="17" fillId="0" borderId="0" xfId="0" applyNumberFormat="1" applyFont="1" applyBorder="1" applyAlignment="1">
      <alignment horizontal="center" vertical="center"/>
    </xf>
    <xf numFmtId="164" fontId="21" fillId="0" borderId="0" xfId="15" applyNumberFormat="1" applyFont="1" applyAlignment="1">
      <alignment horizontal="center" vertical="center"/>
    </xf>
    <xf numFmtId="164" fontId="21" fillId="0" borderId="0" xfId="0" applyNumberFormat="1" applyFont="1" applyAlignment="1">
      <alignment vertical="center"/>
    </xf>
    <xf numFmtId="0" fontId="17" fillId="0" borderId="12" xfId="0" applyFont="1" applyBorder="1" applyAlignment="1">
      <alignment horizontal="center" vertical="center"/>
    </xf>
    <xf numFmtId="0" fontId="14" fillId="0" borderId="12" xfId="0" applyNumberFormat="1" applyFont="1" applyBorder="1" applyAlignment="1">
      <alignment horizontal="center" vertical="center"/>
    </xf>
    <xf numFmtId="164" fontId="21" fillId="0" borderId="0" xfId="15" applyNumberFormat="1" applyFont="1" applyAlignment="1">
      <alignment horizontal="center"/>
    </xf>
    <xf numFmtId="4" fontId="14" fillId="0" borderId="8" xfId="15" applyNumberFormat="1" applyFont="1" applyBorder="1" applyAlignment="1">
      <alignment horizontal="right"/>
    </xf>
    <xf numFmtId="164" fontId="17" fillId="0" borderId="0" xfId="15" applyNumberFormat="1" applyFont="1" applyAlignment="1">
      <alignment horizontal="left" vertical="center" indent="8"/>
    </xf>
    <xf numFmtId="164" fontId="17" fillId="0" borderId="0" xfId="15" applyNumberFormat="1" applyFont="1" applyBorder="1" applyAlignment="1">
      <alignment horizontal="left" vertical="center" indent="8"/>
    </xf>
    <xf numFmtId="164" fontId="13" fillId="0" borderId="0" xfId="15" applyNumberFormat="1" applyFont="1" applyBorder="1" applyAlignment="1">
      <alignment horizontal="left" vertical="center" indent="8"/>
    </xf>
    <xf numFmtId="164" fontId="13" fillId="0" borderId="0" xfId="27" applyNumberFormat="1" applyFont="1" applyBorder="1" applyAlignment="1">
      <alignment horizontal="left" vertical="center" indent="6"/>
      <protection/>
    </xf>
    <xf numFmtId="164" fontId="15" fillId="0" borderId="0" xfId="29" applyNumberFormat="1" applyFont="1" applyAlignment="1">
      <alignment/>
      <protection/>
    </xf>
    <xf numFmtId="37" fontId="17" fillId="0" borderId="0" xfId="29" applyNumberFormat="1" applyFont="1" applyAlignment="1">
      <alignment horizontal="left"/>
      <protection/>
    </xf>
    <xf numFmtId="37" fontId="17" fillId="0" borderId="2" xfId="30" applyNumberFormat="1" applyFont="1" applyBorder="1" applyAlignment="1">
      <alignment horizontal="left"/>
      <protection/>
    </xf>
    <xf numFmtId="37" fontId="17" fillId="0" borderId="0" xfId="30" applyNumberFormat="1" applyFont="1" applyBorder="1" applyAlignment="1">
      <alignment horizontal="left" vertical="center"/>
      <protection/>
    </xf>
    <xf numFmtId="37" fontId="17" fillId="0" borderId="0" xfId="28" applyNumberFormat="1" applyFont="1" applyBorder="1" applyAlignment="1">
      <alignment horizontal="center"/>
      <protection/>
    </xf>
    <xf numFmtId="37" fontId="17" fillId="0" borderId="0" xfId="28" applyNumberFormat="1" applyFont="1" applyBorder="1" applyAlignment="1">
      <alignment vertical="center"/>
      <protection/>
    </xf>
    <xf numFmtId="164" fontId="17" fillId="0" borderId="0" xfId="27" applyNumberFormat="1" applyFont="1" applyBorder="1" applyAlignment="1">
      <alignment vertical="center"/>
      <protection/>
    </xf>
    <xf numFmtId="164" fontId="14" fillId="0" borderId="0" xfId="27" applyNumberFormat="1" applyFont="1">
      <alignment/>
      <protection/>
    </xf>
    <xf numFmtId="164" fontId="17" fillId="0" borderId="0" xfId="27" applyNumberFormat="1" applyFont="1" applyBorder="1">
      <alignment/>
      <protection/>
    </xf>
    <xf numFmtId="0" fontId="14" fillId="0" borderId="0" xfId="0" applyFont="1" applyAlignment="1" quotePrefix="1">
      <alignment horizontal="left" indent="5"/>
    </xf>
    <xf numFmtId="0" fontId="14" fillId="0" borderId="0" xfId="0" applyFont="1" applyAlignment="1">
      <alignment horizontal="left" indent="7"/>
    </xf>
    <xf numFmtId="164" fontId="15" fillId="0" borderId="0" xfId="29" applyNumberFormat="1" applyFont="1" applyBorder="1" applyAlignment="1">
      <alignment horizontal="center"/>
      <protection/>
    </xf>
    <xf numFmtId="164" fontId="16" fillId="0" borderId="0" xfId="29" applyNumberFormat="1" applyFont="1" applyAlignment="1">
      <alignment horizontal="center"/>
      <protection/>
    </xf>
    <xf numFmtId="0" fontId="17" fillId="0" borderId="0" xfId="0" applyFont="1" applyAlignment="1">
      <alignment horizontal="right"/>
    </xf>
    <xf numFmtId="0" fontId="34" fillId="0" borderId="0" xfId="0" applyFont="1" applyAlignment="1">
      <alignment horizontal="left"/>
    </xf>
    <xf numFmtId="3" fontId="14" fillId="0" borderId="0" xfId="0" applyNumberFormat="1" applyFont="1" applyAlignment="1">
      <alignment horizontal="right"/>
    </xf>
    <xf numFmtId="3" fontId="14" fillId="0" borderId="2" xfId="0" applyNumberFormat="1" applyFont="1" applyBorder="1" applyAlignment="1">
      <alignment horizontal="right"/>
    </xf>
    <xf numFmtId="3" fontId="17" fillId="0" borderId="2" xfId="0" applyNumberFormat="1" applyFont="1" applyBorder="1" applyAlignment="1">
      <alignment horizontal="right"/>
    </xf>
    <xf numFmtId="0" fontId="14" fillId="0" borderId="3" xfId="0" applyFont="1" applyBorder="1" applyAlignment="1">
      <alignment/>
    </xf>
    <xf numFmtId="0" fontId="17" fillId="0" borderId="3" xfId="0" applyFont="1" applyFill="1" applyBorder="1" applyAlignment="1">
      <alignment horizontal="center" vertical="center" wrapText="1"/>
    </xf>
    <xf numFmtId="3" fontId="17" fillId="0" borderId="3" xfId="0" applyNumberFormat="1" applyFont="1" applyFill="1" applyBorder="1" applyAlignment="1">
      <alignment horizontal="right" vertical="center"/>
    </xf>
    <xf numFmtId="0" fontId="17" fillId="0" borderId="7" xfId="0" applyFont="1" applyBorder="1" applyAlignment="1">
      <alignment horizontal="left"/>
    </xf>
    <xf numFmtId="3" fontId="17" fillId="0" borderId="7" xfId="0" applyNumberFormat="1" applyFont="1" applyBorder="1" applyAlignment="1">
      <alignment horizontal="center"/>
    </xf>
    <xf numFmtId="0" fontId="17" fillId="0" borderId="0" xfId="0" applyFont="1" applyBorder="1" applyAlignment="1" quotePrefix="1">
      <alignment horizontal="center"/>
    </xf>
    <xf numFmtId="3" fontId="17" fillId="0" borderId="7" xfId="0" applyNumberFormat="1" applyFont="1" applyBorder="1" applyAlignment="1">
      <alignment/>
    </xf>
    <xf numFmtId="3" fontId="14" fillId="0" borderId="0" xfId="0" applyNumberFormat="1" applyFont="1" applyBorder="1" applyAlignment="1">
      <alignment/>
    </xf>
    <xf numFmtId="0" fontId="17" fillId="0" borderId="6" xfId="0" applyFont="1" applyBorder="1" applyAlignment="1">
      <alignment horizontal="left"/>
    </xf>
    <xf numFmtId="0" fontId="17" fillId="0" borderId="6" xfId="0" applyFont="1" applyBorder="1" applyAlignment="1">
      <alignment horizontal="center"/>
    </xf>
    <xf numFmtId="3" fontId="17" fillId="0" borderId="6" xfId="0" applyNumberFormat="1" applyFont="1" applyBorder="1" applyAlignment="1">
      <alignment/>
    </xf>
    <xf numFmtId="0" fontId="14" fillId="0" borderId="0" xfId="0" applyFont="1" applyBorder="1" applyAlignment="1" quotePrefix="1">
      <alignment horizontal="left" indent="1"/>
    </xf>
    <xf numFmtId="0" fontId="14" fillId="0" borderId="0" xfId="0" applyFont="1" applyBorder="1" applyAlignment="1" quotePrefix="1">
      <alignment horizontal="center"/>
    </xf>
    <xf numFmtId="3" fontId="14" fillId="0" borderId="0" xfId="0" applyNumberFormat="1" applyFont="1" applyBorder="1" applyAlignment="1">
      <alignment horizontal="center"/>
    </xf>
    <xf numFmtId="0" fontId="17" fillId="0" borderId="6"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6" xfId="0" applyFont="1" applyBorder="1" applyAlignment="1" quotePrefix="1">
      <alignment horizontal="center" vertical="center" wrapText="1"/>
    </xf>
    <xf numFmtId="0" fontId="17" fillId="0" borderId="0" xfId="0" applyFont="1" applyBorder="1" applyAlignment="1" quotePrefix="1">
      <alignment horizontal="center" vertical="center" wrapText="1"/>
    </xf>
    <xf numFmtId="3" fontId="17" fillId="0" borderId="6" xfId="0" applyNumberFormat="1" applyFont="1" applyBorder="1" applyAlignment="1">
      <alignment vertical="center" wrapText="1"/>
    </xf>
    <xf numFmtId="0" fontId="14" fillId="0" borderId="0" xfId="0" applyFont="1" applyBorder="1" applyAlignment="1">
      <alignment vertical="center" wrapText="1"/>
    </xf>
    <xf numFmtId="3" fontId="17" fillId="0" borderId="0" xfId="0" applyNumberFormat="1" applyFont="1" applyBorder="1" applyAlignment="1">
      <alignment vertical="center" wrapText="1"/>
    </xf>
    <xf numFmtId="0" fontId="14" fillId="0" borderId="0" xfId="0" applyFont="1" applyBorder="1" applyAlignment="1" quotePrefix="1">
      <alignment horizontal="left" wrapText="1" indent="1"/>
    </xf>
    <xf numFmtId="0" fontId="14" fillId="0" borderId="0" xfId="0" applyFont="1" applyBorder="1" applyAlignment="1">
      <alignment horizontal="center" wrapText="1"/>
    </xf>
    <xf numFmtId="0" fontId="17" fillId="0" borderId="0" xfId="0" applyFont="1" applyBorder="1" applyAlignment="1" quotePrefix="1">
      <alignment horizontal="center" wrapText="1"/>
    </xf>
    <xf numFmtId="0" fontId="14" fillId="0" borderId="0" xfId="0" applyFont="1" applyBorder="1" applyAlignment="1" quotePrefix="1">
      <alignment horizontal="center" wrapText="1"/>
    </xf>
    <xf numFmtId="0" fontId="17" fillId="0" borderId="0" xfId="0" applyFont="1" applyBorder="1" applyAlignment="1">
      <alignment horizontal="center" wrapText="1"/>
    </xf>
    <xf numFmtId="0" fontId="14" fillId="0" borderId="2" xfId="0" applyFont="1" applyBorder="1" applyAlignment="1" quotePrefix="1">
      <alignment horizontal="center" wrapText="1"/>
    </xf>
    <xf numFmtId="0" fontId="17" fillId="0" borderId="3" xfId="0" applyFont="1" applyBorder="1" applyAlignment="1">
      <alignment horizontal="left"/>
    </xf>
    <xf numFmtId="0" fontId="17" fillId="0" borderId="3" xfId="0" applyFont="1" applyBorder="1" applyAlignment="1" quotePrefix="1">
      <alignment horizontal="center"/>
    </xf>
    <xf numFmtId="0" fontId="17" fillId="0" borderId="0" xfId="0" applyFont="1" applyFill="1" applyBorder="1" applyAlignment="1">
      <alignment horizontal="center"/>
    </xf>
    <xf numFmtId="3" fontId="14" fillId="0" borderId="2" xfId="0" applyNumberFormat="1" applyFont="1" applyBorder="1" applyAlignment="1">
      <alignment/>
    </xf>
    <xf numFmtId="0" fontId="14" fillId="0" borderId="0" xfId="0" applyFont="1" applyBorder="1" applyAlignment="1">
      <alignment horizontal="left" vertical="center" indent="1"/>
    </xf>
    <xf numFmtId="3" fontId="14" fillId="0" borderId="0" xfId="0" applyNumberFormat="1" applyFont="1" applyBorder="1" applyAlignment="1">
      <alignment horizontal="right"/>
    </xf>
    <xf numFmtId="3" fontId="14" fillId="0" borderId="0" xfId="0" applyNumberFormat="1" applyFont="1" applyBorder="1" applyAlignment="1">
      <alignment/>
    </xf>
    <xf numFmtId="3" fontId="14" fillId="0" borderId="0" xfId="0" applyNumberFormat="1" applyFont="1" applyBorder="1" applyAlignment="1">
      <alignment vertical="center"/>
    </xf>
    <xf numFmtId="0" fontId="14" fillId="0" borderId="0" xfId="0" applyFont="1" applyBorder="1" applyAlignment="1">
      <alignment horizontal="left" indent="1"/>
    </xf>
    <xf numFmtId="164" fontId="14" fillId="0" borderId="0" xfId="0" applyNumberFormat="1" applyFont="1" applyBorder="1" applyAlignment="1">
      <alignment wrapText="1"/>
    </xf>
    <xf numFmtId="164" fontId="17" fillId="0" borderId="3" xfId="15" applyNumberFormat="1" applyFont="1" applyBorder="1" applyAlignment="1" quotePrefix="1">
      <alignment horizontal="center"/>
    </xf>
    <xf numFmtId="164" fontId="17" fillId="0" borderId="3" xfId="15" applyNumberFormat="1" applyFont="1" applyBorder="1" applyAlignment="1">
      <alignment horizontal="right"/>
    </xf>
    <xf numFmtId="3" fontId="17" fillId="0" borderId="3" xfId="0" applyNumberFormat="1" applyFont="1" applyBorder="1" applyAlignment="1">
      <alignment horizontal="center"/>
    </xf>
    <xf numFmtId="3" fontId="17" fillId="0" borderId="3" xfId="0" applyNumberFormat="1" applyFont="1" applyBorder="1" applyAlignment="1">
      <alignment/>
    </xf>
    <xf numFmtId="0" fontId="25" fillId="0" borderId="0" xfId="0" applyFont="1" applyBorder="1" applyAlignment="1">
      <alignment/>
    </xf>
    <xf numFmtId="3" fontId="14" fillId="0" borderId="2" xfId="0" applyNumberFormat="1" applyFont="1" applyBorder="1" applyAlignment="1">
      <alignment horizontal="center"/>
    </xf>
    <xf numFmtId="0" fontId="14" fillId="0" borderId="2" xfId="0" applyFont="1" applyBorder="1" applyAlignment="1">
      <alignment horizontal="center"/>
    </xf>
    <xf numFmtId="3" fontId="17" fillId="0" borderId="8" xfId="0" applyNumberFormat="1" applyFont="1" applyBorder="1" applyAlignment="1">
      <alignment horizontal="center"/>
    </xf>
    <xf numFmtId="3" fontId="17" fillId="0" borderId="8" xfId="0" applyNumberFormat="1" applyFont="1" applyBorder="1" applyAlignment="1">
      <alignment/>
    </xf>
    <xf numFmtId="0" fontId="14" fillId="0" borderId="8" xfId="0" applyFont="1" applyBorder="1" applyAlignment="1">
      <alignment/>
    </xf>
    <xf numFmtId="164" fontId="17" fillId="0" borderId="8" xfId="0" applyNumberFormat="1" applyFont="1" applyBorder="1" applyAlignment="1">
      <alignment/>
    </xf>
    <xf numFmtId="164" fontId="17" fillId="0" borderId="8" xfId="15" applyNumberFormat="1" applyFont="1" applyBorder="1" applyAlignment="1">
      <alignment/>
    </xf>
    <xf numFmtId="3" fontId="14" fillId="0" borderId="0" xfId="0" applyNumberFormat="1" applyFont="1" applyAlignment="1">
      <alignment/>
    </xf>
    <xf numFmtId="0" fontId="24" fillId="0" borderId="0" xfId="0" applyFont="1" applyAlignment="1">
      <alignment/>
    </xf>
    <xf numFmtId="10" fontId="24" fillId="0" borderId="0" xfId="0" applyNumberFormat="1" applyFont="1" applyAlignment="1">
      <alignment/>
    </xf>
    <xf numFmtId="0" fontId="21" fillId="0" borderId="0" xfId="0" applyFont="1" applyAlignment="1">
      <alignment/>
    </xf>
    <xf numFmtId="0" fontId="34" fillId="0" borderId="0" xfId="0" applyFont="1" applyAlignment="1">
      <alignment vertical="center"/>
    </xf>
    <xf numFmtId="0" fontId="17" fillId="0" borderId="0" xfId="0" applyFont="1" applyBorder="1" applyAlignment="1">
      <alignment horizontal="right"/>
    </xf>
    <xf numFmtId="0" fontId="21" fillId="0" borderId="0" xfId="0" applyFont="1" applyAlignment="1">
      <alignment vertical="top"/>
    </xf>
    <xf numFmtId="41" fontId="27" fillId="0" borderId="0" xfId="0" applyNumberFormat="1" applyFont="1" applyAlignment="1">
      <alignment horizontal="justify"/>
    </xf>
    <xf numFmtId="0" fontId="21" fillId="0" borderId="0" xfId="0" applyFont="1" applyAlignment="1">
      <alignment horizontal="left"/>
    </xf>
    <xf numFmtId="0" fontId="13" fillId="0" borderId="0" xfId="0" applyFont="1" applyAlignment="1">
      <alignment/>
    </xf>
    <xf numFmtId="41" fontId="17" fillId="0" borderId="0" xfId="15" applyNumberFormat="1" applyFont="1" applyAlignment="1">
      <alignment/>
    </xf>
    <xf numFmtId="0" fontId="21" fillId="0" borderId="0" xfId="0" applyFont="1" applyFill="1" applyAlignment="1">
      <alignment/>
    </xf>
    <xf numFmtId="0" fontId="13" fillId="0" borderId="0" xfId="0" applyFont="1" applyAlignment="1">
      <alignment vertical="center"/>
    </xf>
    <xf numFmtId="41" fontId="21" fillId="0" borderId="0" xfId="0" applyNumberFormat="1" applyFont="1" applyAlignment="1">
      <alignment/>
    </xf>
    <xf numFmtId="41" fontId="27" fillId="0" borderId="0" xfId="15" applyNumberFormat="1" applyFont="1" applyBorder="1" applyAlignment="1">
      <alignment/>
    </xf>
    <xf numFmtId="0" fontId="23" fillId="0" borderId="0" xfId="0" applyFont="1" applyAlignment="1">
      <alignment/>
    </xf>
    <xf numFmtId="0" fontId="31" fillId="0" borderId="6" xfId="31" applyFont="1" applyBorder="1" applyAlignment="1" quotePrefix="1">
      <alignment horizontal="left"/>
      <protection/>
    </xf>
    <xf numFmtId="3" fontId="31" fillId="0" borderId="6" xfId="31" applyNumberFormat="1" applyFont="1" applyBorder="1" applyAlignment="1">
      <alignment/>
      <protection/>
    </xf>
    <xf numFmtId="0" fontId="31" fillId="0" borderId="6" xfId="0" applyFont="1" applyBorder="1" applyAlignment="1">
      <alignment/>
    </xf>
    <xf numFmtId="41" fontId="31" fillId="0" borderId="6" xfId="31" applyNumberFormat="1" applyFont="1" applyBorder="1" applyAlignment="1">
      <alignment/>
      <protection/>
    </xf>
    <xf numFmtId="0" fontId="35" fillId="0" borderId="0" xfId="0" applyFont="1" applyAlignment="1">
      <alignment/>
    </xf>
    <xf numFmtId="0" fontId="31" fillId="0" borderId="0" xfId="31" applyFont="1" applyBorder="1" applyAlignment="1" quotePrefix="1">
      <alignment horizontal="left"/>
      <protection/>
    </xf>
    <xf numFmtId="3" fontId="31" fillId="0" borderId="0" xfId="31" applyNumberFormat="1" applyFont="1" applyBorder="1" applyAlignment="1">
      <alignment/>
      <protection/>
    </xf>
    <xf numFmtId="0" fontId="31" fillId="0" borderId="0" xfId="0" applyFont="1" applyAlignment="1">
      <alignment/>
    </xf>
    <xf numFmtId="41" fontId="31" fillId="0" borderId="0" xfId="31" applyNumberFormat="1" applyFont="1" applyBorder="1" applyAlignment="1">
      <alignment/>
      <protection/>
    </xf>
    <xf numFmtId="41" fontId="31" fillId="0" borderId="0" xfId="15" applyNumberFormat="1" applyFont="1" applyBorder="1" applyAlignment="1">
      <alignment/>
    </xf>
    <xf numFmtId="0" fontId="27" fillId="0" borderId="13" xfId="31" applyFont="1" applyBorder="1" applyAlignment="1">
      <alignment horizontal="left"/>
      <protection/>
    </xf>
    <xf numFmtId="3" fontId="31" fillId="0" borderId="13" xfId="15" applyNumberFormat="1" applyFont="1" applyBorder="1" applyAlignment="1">
      <alignment/>
    </xf>
    <xf numFmtId="3" fontId="31" fillId="0" borderId="13" xfId="15" applyNumberFormat="1" applyFont="1" applyBorder="1" applyAlignment="1">
      <alignment horizontal="right"/>
    </xf>
    <xf numFmtId="0" fontId="27" fillId="0" borderId="13" xfId="0" applyFont="1" applyBorder="1" applyAlignment="1">
      <alignment/>
    </xf>
    <xf numFmtId="41" fontId="27" fillId="0" borderId="13" xfId="31" applyNumberFormat="1" applyFont="1" applyBorder="1" applyAlignment="1">
      <alignment horizontal="right"/>
      <protection/>
    </xf>
    <xf numFmtId="41" fontId="27" fillId="0" borderId="13" xfId="15" applyNumberFormat="1" applyFont="1" applyBorder="1" applyAlignment="1">
      <alignment/>
    </xf>
    <xf numFmtId="0" fontId="29" fillId="0" borderId="3" xfId="31" applyFont="1" applyBorder="1" applyAlignment="1">
      <alignment horizontal="left" vertical="center"/>
      <protection/>
    </xf>
    <xf numFmtId="0" fontId="36" fillId="0" borderId="3" xfId="0" applyFont="1" applyBorder="1" applyAlignment="1">
      <alignment horizontal="left" vertical="center"/>
    </xf>
    <xf numFmtId="41" fontId="27" fillId="0" borderId="3" xfId="15" applyNumberFormat="1" applyFont="1" applyBorder="1" applyAlignment="1">
      <alignment/>
    </xf>
    <xf numFmtId="41" fontId="29" fillId="0" borderId="3" xfId="15" applyNumberFormat="1" applyFont="1" applyBorder="1" applyAlignment="1">
      <alignment/>
    </xf>
    <xf numFmtId="0" fontId="27" fillId="0" borderId="5" xfId="31" applyFont="1" applyBorder="1" applyAlignment="1">
      <alignment horizontal="left"/>
      <protection/>
    </xf>
    <xf numFmtId="3" fontId="27" fillId="0" borderId="5" xfId="15" applyNumberFormat="1" applyFont="1" applyBorder="1" applyAlignment="1">
      <alignment/>
    </xf>
    <xf numFmtId="0" fontId="27" fillId="0" borderId="5" xfId="0" applyFont="1" applyBorder="1" applyAlignment="1">
      <alignment/>
    </xf>
    <xf numFmtId="41" fontId="27" fillId="0" borderId="5" xfId="31" applyNumberFormat="1" applyFont="1" applyBorder="1" applyAlignment="1">
      <alignment horizontal="right"/>
      <protection/>
    </xf>
    <xf numFmtId="164" fontId="27" fillId="0" borderId="5" xfId="15" applyNumberFormat="1" applyFont="1" applyBorder="1" applyAlignment="1">
      <alignment/>
    </xf>
    <xf numFmtId="41" fontId="27" fillId="0" borderId="5" xfId="15" applyNumberFormat="1" applyFont="1" applyBorder="1" applyAlignment="1">
      <alignment/>
    </xf>
    <xf numFmtId="0" fontId="31" fillId="0" borderId="5" xfId="31" applyFont="1" applyBorder="1" applyAlignment="1" quotePrefix="1">
      <alignment horizontal="left"/>
      <protection/>
    </xf>
    <xf numFmtId="3" fontId="31" fillId="0" borderId="5" xfId="15" applyNumberFormat="1" applyFont="1" applyBorder="1" applyAlignment="1">
      <alignment/>
    </xf>
    <xf numFmtId="0" fontId="31" fillId="0" borderId="5" xfId="0" applyFont="1" applyBorder="1" applyAlignment="1">
      <alignment/>
    </xf>
    <xf numFmtId="41" fontId="31" fillId="0" borderId="5" xfId="31" applyNumberFormat="1" applyFont="1" applyBorder="1" applyAlignment="1">
      <alignment horizontal="right"/>
      <protection/>
    </xf>
    <xf numFmtId="164" fontId="31" fillId="0" borderId="5" xfId="15" applyNumberFormat="1" applyFont="1" applyBorder="1" applyAlignment="1">
      <alignment/>
    </xf>
    <xf numFmtId="41" fontId="31" fillId="0" borderId="5" xfId="15" applyNumberFormat="1" applyFont="1" applyBorder="1" applyAlignment="1">
      <alignment/>
    </xf>
    <xf numFmtId="0" fontId="31" fillId="0" borderId="7" xfId="31" applyFont="1" applyBorder="1" applyAlignment="1" quotePrefix="1">
      <alignment horizontal="left"/>
      <protection/>
    </xf>
    <xf numFmtId="3" fontId="31" fillId="0" borderId="6" xfId="15" applyNumberFormat="1" applyFont="1" applyBorder="1" applyAlignment="1">
      <alignment/>
    </xf>
    <xf numFmtId="41" fontId="31" fillId="0" borderId="6" xfId="31" applyNumberFormat="1" applyFont="1" applyBorder="1" applyAlignment="1">
      <alignment horizontal="right"/>
      <protection/>
    </xf>
    <xf numFmtId="0" fontId="36" fillId="0" borderId="3" xfId="0" applyFont="1" applyBorder="1" applyAlignment="1">
      <alignment horizontal="left"/>
    </xf>
    <xf numFmtId="0" fontId="27" fillId="0" borderId="0" xfId="31" applyFont="1" applyBorder="1" applyAlignment="1">
      <alignment horizontal="left"/>
      <protection/>
    </xf>
    <xf numFmtId="3" fontId="27" fillId="0" borderId="0" xfId="15" applyNumberFormat="1" applyFont="1" applyBorder="1" applyAlignment="1">
      <alignment horizontal="right"/>
    </xf>
    <xf numFmtId="41" fontId="27" fillId="0" borderId="0" xfId="31" applyNumberFormat="1" applyFont="1" applyBorder="1" applyAlignment="1">
      <alignment horizontal="right"/>
      <protection/>
    </xf>
    <xf numFmtId="0" fontId="27" fillId="0" borderId="8" xfId="31" applyFont="1" applyBorder="1" applyAlignment="1">
      <alignment horizontal="left"/>
      <protection/>
    </xf>
    <xf numFmtId="3" fontId="27" fillId="0" borderId="8" xfId="15" applyNumberFormat="1" applyFont="1" applyBorder="1" applyAlignment="1">
      <alignment horizontal="right"/>
    </xf>
    <xf numFmtId="0" fontId="27" fillId="0" borderId="8" xfId="0" applyFont="1" applyFill="1" applyBorder="1" applyAlignment="1">
      <alignment/>
    </xf>
    <xf numFmtId="41" fontId="27" fillId="0" borderId="8" xfId="31" applyNumberFormat="1" applyFont="1" applyBorder="1" applyAlignment="1">
      <alignment horizontal="right"/>
      <protection/>
    </xf>
    <xf numFmtId="0" fontId="27" fillId="0" borderId="0" xfId="0" applyFont="1" applyFill="1" applyBorder="1" applyAlignment="1">
      <alignment/>
    </xf>
    <xf numFmtId="0" fontId="31" fillId="0" borderId="0" xfId="31" applyFont="1" applyBorder="1" applyAlignment="1">
      <alignment horizontal="left" indent="1"/>
      <protection/>
    </xf>
    <xf numFmtId="3" fontId="27" fillId="0" borderId="0" xfId="31" applyNumberFormat="1" applyFont="1" applyBorder="1" applyAlignment="1">
      <alignment horizontal="right"/>
      <protection/>
    </xf>
    <xf numFmtId="167" fontId="27" fillId="0" borderId="0" xfId="31" applyNumberFormat="1" applyFont="1" applyBorder="1" applyAlignment="1">
      <alignment horizontal="right"/>
      <protection/>
    </xf>
    <xf numFmtId="41" fontId="31" fillId="0" borderId="0" xfId="0" applyNumberFormat="1" applyFont="1" applyAlignment="1" quotePrefix="1">
      <alignment horizontal="left"/>
    </xf>
    <xf numFmtId="41" fontId="31" fillId="2" borderId="0" xfId="15" applyNumberFormat="1" applyFont="1" applyFill="1" applyBorder="1" applyAlignment="1">
      <alignment/>
    </xf>
    <xf numFmtId="0" fontId="17" fillId="0" borderId="0" xfId="0" applyFont="1" applyFill="1" applyBorder="1" applyAlignment="1" quotePrefix="1">
      <alignment horizontal="left" vertical="center"/>
    </xf>
    <xf numFmtId="0" fontId="14" fillId="0" borderId="2" xfId="0" applyFont="1" applyFill="1" applyBorder="1" applyAlignment="1">
      <alignment vertical="center"/>
    </xf>
    <xf numFmtId="0" fontId="14" fillId="0" borderId="2" xfId="0" applyFont="1" applyFill="1" applyBorder="1" applyAlignment="1">
      <alignment horizontal="left" vertical="center" wrapText="1"/>
    </xf>
    <xf numFmtId="164" fontId="17" fillId="0" borderId="2" xfId="15" applyNumberFormat="1" applyFont="1" applyFill="1" applyBorder="1" applyAlignment="1">
      <alignment vertical="center"/>
    </xf>
    <xf numFmtId="164" fontId="14" fillId="0" borderId="2" xfId="15" applyNumberFormat="1" applyFont="1" applyFill="1" applyBorder="1" applyAlignment="1">
      <alignment vertical="center"/>
    </xf>
    <xf numFmtId="14" fontId="17" fillId="0" borderId="2" xfId="15" applyNumberFormat="1" applyFont="1" applyFill="1" applyBorder="1" applyAlignment="1">
      <alignment horizontal="right" vertical="center"/>
    </xf>
    <xf numFmtId="14" fontId="17" fillId="0" borderId="2" xfId="15" applyNumberFormat="1" applyFont="1" applyFill="1" applyBorder="1" applyAlignment="1" quotePrefix="1">
      <alignment horizontal="right" vertical="center"/>
    </xf>
    <xf numFmtId="3" fontId="14" fillId="0" borderId="0" xfId="15" applyNumberFormat="1" applyFont="1" applyFill="1" applyBorder="1" applyAlignment="1" quotePrefix="1">
      <alignment/>
    </xf>
    <xf numFmtId="164" fontId="14" fillId="0" borderId="9" xfId="15" applyNumberFormat="1" applyFont="1" applyFill="1" applyBorder="1" applyAlignment="1">
      <alignment horizontal="left"/>
    </xf>
    <xf numFmtId="164" fontId="14" fillId="0" borderId="0" xfId="15" applyNumberFormat="1" applyFont="1" applyFill="1" applyBorder="1" applyAlignment="1">
      <alignment horizontal="justify" wrapText="1"/>
    </xf>
    <xf numFmtId="3" fontId="28" fillId="2" borderId="0" xfId="31" applyNumberFormat="1" applyFont="1" applyFill="1" applyBorder="1" applyAlignment="1" quotePrefix="1">
      <alignment horizontal="left"/>
      <protection/>
    </xf>
    <xf numFmtId="164" fontId="14" fillId="0" borderId="0" xfId="15" applyNumberFormat="1" applyFont="1" applyFill="1" applyBorder="1" applyAlignment="1">
      <alignment horizontal="left" wrapText="1"/>
    </xf>
    <xf numFmtId="164" fontId="28" fillId="0" borderId="0" xfId="15" applyNumberFormat="1" applyFont="1" applyBorder="1" applyAlignment="1">
      <alignment/>
    </xf>
    <xf numFmtId="0" fontId="17" fillId="0" borderId="4" xfId="0" applyFont="1" applyFill="1" applyBorder="1" applyAlignment="1">
      <alignment/>
    </xf>
    <xf numFmtId="0" fontId="14" fillId="0" borderId="4" xfId="0" applyFont="1" applyFill="1" applyBorder="1" applyAlignment="1">
      <alignment horizontal="justify" wrapText="1"/>
    </xf>
    <xf numFmtId="41" fontId="17" fillId="0" borderId="4" xfId="15" applyNumberFormat="1" applyFont="1" applyFill="1" applyBorder="1" applyAlignment="1">
      <alignment/>
    </xf>
    <xf numFmtId="3" fontId="14" fillId="0" borderId="9" xfId="31" applyNumberFormat="1" applyFont="1" applyBorder="1" applyAlignment="1" quotePrefix="1">
      <alignment horizontal="left"/>
      <protection/>
    </xf>
    <xf numFmtId="3" fontId="14" fillId="0" borderId="6" xfId="31" applyNumberFormat="1" applyFont="1" applyBorder="1" applyAlignment="1" quotePrefix="1">
      <alignment horizontal="left"/>
      <protection/>
    </xf>
    <xf numFmtId="3" fontId="14" fillId="0" borderId="6" xfId="15" applyNumberFormat="1" applyFont="1" applyBorder="1" applyAlignment="1">
      <alignment horizontal="right"/>
    </xf>
    <xf numFmtId="167" fontId="14" fillId="0" borderId="6" xfId="31" applyNumberFormat="1" applyFont="1" applyBorder="1" applyAlignment="1">
      <alignment horizontal="right"/>
      <protection/>
    </xf>
    <xf numFmtId="0" fontId="28" fillId="0" borderId="7" xfId="0" applyFont="1" applyBorder="1" applyAlignment="1" quotePrefix="1">
      <alignment horizontal="left"/>
    </xf>
    <xf numFmtId="0" fontId="28" fillId="0" borderId="7" xfId="0" applyFont="1" applyBorder="1" applyAlignment="1">
      <alignment/>
    </xf>
    <xf numFmtId="0" fontId="28" fillId="0" borderId="7" xfId="0" applyFont="1" applyBorder="1" applyAlignment="1">
      <alignment horizontal="left"/>
    </xf>
    <xf numFmtId="164" fontId="28" fillId="0" borderId="7" xfId="15" applyNumberFormat="1" applyFont="1" applyBorder="1" applyAlignment="1">
      <alignment horizontal="left"/>
    </xf>
    <xf numFmtId="164" fontId="28" fillId="0" borderId="7" xfId="15" applyNumberFormat="1" applyFont="1" applyBorder="1" applyAlignment="1">
      <alignment horizontal="justify"/>
    </xf>
    <xf numFmtId="41" fontId="14" fillId="2" borderId="7" xfId="0" applyNumberFormat="1" applyFont="1" applyFill="1" applyBorder="1" applyAlignment="1">
      <alignment/>
    </xf>
    <xf numFmtId="41" fontId="28" fillId="2" borderId="11" xfId="0" applyNumberFormat="1" applyFont="1" applyFill="1" applyBorder="1" applyAlignment="1">
      <alignment/>
    </xf>
    <xf numFmtId="41" fontId="28" fillId="2" borderId="7" xfId="0" applyNumberFormat="1" applyFont="1" applyFill="1" applyBorder="1" applyAlignment="1">
      <alignment/>
    </xf>
    <xf numFmtId="0" fontId="28" fillId="0" borderId="0" xfId="0" applyFont="1" applyBorder="1" applyAlignment="1">
      <alignment/>
    </xf>
    <xf numFmtId="41" fontId="14" fillId="2" borderId="0" xfId="0" applyNumberFormat="1" applyFont="1" applyFill="1" applyBorder="1" applyAlignment="1">
      <alignment/>
    </xf>
    <xf numFmtId="0" fontId="17" fillId="0" borderId="1" xfId="0" applyFont="1" applyBorder="1" applyAlignment="1">
      <alignment/>
    </xf>
    <xf numFmtId="0" fontId="17" fillId="0" borderId="1" xfId="0" applyFont="1" applyBorder="1" applyAlignment="1">
      <alignment horizontal="center"/>
    </xf>
    <xf numFmtId="0" fontId="14" fillId="0" borderId="1" xfId="0" applyFont="1" applyBorder="1" applyAlignment="1">
      <alignment horizontal="left"/>
    </xf>
    <xf numFmtId="0" fontId="14" fillId="0" borderId="1" xfId="0" applyFont="1" applyBorder="1" applyAlignment="1">
      <alignment horizontal="justify"/>
    </xf>
    <xf numFmtId="41" fontId="17" fillId="0" borderId="1" xfId="15" applyNumberFormat="1" applyFont="1" applyFill="1" applyBorder="1" applyAlignment="1">
      <alignment/>
    </xf>
    <xf numFmtId="0" fontId="27" fillId="0" borderId="0" xfId="0" applyFont="1" applyAlignment="1" quotePrefix="1">
      <alignment horizontal="center"/>
    </xf>
    <xf numFmtId="164" fontId="31" fillId="0" borderId="0" xfId="15" applyNumberFormat="1" applyFont="1" applyBorder="1" applyAlignment="1">
      <alignment horizontal="justify"/>
    </xf>
    <xf numFmtId="41" fontId="27" fillId="0" borderId="0" xfId="0" applyNumberFormat="1" applyFont="1" applyAlignment="1">
      <alignment/>
    </xf>
    <xf numFmtId="0" fontId="28" fillId="0" borderId="0" xfId="0" applyFont="1" applyAlignment="1" quotePrefix="1">
      <alignment/>
    </xf>
    <xf numFmtId="41" fontId="21" fillId="0" borderId="0" xfId="15" applyNumberFormat="1" applyFont="1" applyAlignment="1">
      <alignment/>
    </xf>
    <xf numFmtId="41" fontId="17" fillId="0" borderId="3" xfId="15" applyNumberFormat="1" applyFont="1" applyFill="1" applyBorder="1" applyAlignment="1">
      <alignment horizontal="right" vertical="center" wrapText="1"/>
    </xf>
    <xf numFmtId="0" fontId="21" fillId="0" borderId="0" xfId="0" applyFont="1" applyFill="1" applyAlignment="1">
      <alignment/>
    </xf>
    <xf numFmtId="0" fontId="21" fillId="0" borderId="0" xfId="0" applyFont="1" applyFill="1" applyBorder="1" applyAlignment="1">
      <alignment/>
    </xf>
    <xf numFmtId="0" fontId="14" fillId="0" borderId="10" xfId="31" applyFont="1" applyFill="1" applyBorder="1" applyAlignment="1">
      <alignment horizontal="left"/>
      <protection/>
    </xf>
    <xf numFmtId="0" fontId="14" fillId="0" borderId="1" xfId="31" applyFont="1" applyFill="1" applyBorder="1" applyAlignment="1">
      <alignment horizontal="left"/>
      <protection/>
    </xf>
    <xf numFmtId="0" fontId="14" fillId="0" borderId="1" xfId="0" applyFont="1" applyFill="1" applyBorder="1" applyAlignment="1">
      <alignment/>
    </xf>
    <xf numFmtId="3" fontId="14" fillId="0" borderId="1" xfId="0" applyNumberFormat="1" applyFont="1" applyFill="1" applyBorder="1" applyAlignment="1">
      <alignment/>
    </xf>
    <xf numFmtId="164" fontId="14" fillId="0" borderId="1" xfId="15" applyNumberFormat="1" applyFont="1" applyFill="1" applyBorder="1" applyAlignment="1">
      <alignment/>
    </xf>
    <xf numFmtId="164" fontId="17" fillId="0" borderId="1" xfId="15" applyNumberFormat="1" applyFont="1" applyFill="1" applyBorder="1" applyAlignment="1">
      <alignment/>
    </xf>
    <xf numFmtId="0" fontId="13" fillId="0" borderId="0" xfId="0" applyFont="1" applyFill="1" applyBorder="1" applyAlignment="1">
      <alignment/>
    </xf>
    <xf numFmtId="41" fontId="14" fillId="2" borderId="0" xfId="15" applyNumberFormat="1" applyFont="1" applyFill="1" applyBorder="1" applyAlignment="1" quotePrefix="1">
      <alignment horizontal="right"/>
    </xf>
    <xf numFmtId="0" fontId="17" fillId="0" borderId="0" xfId="0" applyFont="1" applyFill="1" applyBorder="1" applyAlignment="1">
      <alignment horizontal="center" vertical="center"/>
    </xf>
    <xf numFmtId="14" fontId="17" fillId="0" borderId="2" xfId="15" applyNumberFormat="1" applyFont="1" applyBorder="1" applyAlignment="1">
      <alignment horizontal="right" vertical="center"/>
    </xf>
    <xf numFmtId="14" fontId="17" fillId="0" borderId="2" xfId="15" applyNumberFormat="1" applyFont="1" applyBorder="1" applyAlignment="1" quotePrefix="1">
      <alignment horizontal="right" vertical="center"/>
    </xf>
    <xf numFmtId="0" fontId="13" fillId="0" borderId="0" xfId="0" applyFont="1" applyFill="1" applyBorder="1" applyAlignment="1">
      <alignment vertical="center"/>
    </xf>
    <xf numFmtId="0" fontId="13" fillId="0" borderId="0" xfId="0" applyFont="1" applyFill="1" applyBorder="1" applyAlignment="1">
      <alignment vertical="top"/>
    </xf>
    <xf numFmtId="41" fontId="28" fillId="0" borderId="8" xfId="0" applyNumberFormat="1" applyFont="1" applyFill="1" applyBorder="1" applyAlignment="1">
      <alignment horizontal="right"/>
    </xf>
    <xf numFmtId="0" fontId="13" fillId="0" borderId="0" xfId="0" applyFont="1" applyBorder="1" applyAlignment="1">
      <alignment/>
    </xf>
    <xf numFmtId="0" fontId="14" fillId="0" borderId="8" xfId="0" applyFont="1" applyBorder="1" applyAlignment="1" quotePrefix="1">
      <alignment/>
    </xf>
    <xf numFmtId="0" fontId="14" fillId="2" borderId="0" xfId="0" applyFont="1" applyFill="1" applyBorder="1" applyAlignment="1" quotePrefix="1">
      <alignment horizontal="left"/>
    </xf>
    <xf numFmtId="0" fontId="17" fillId="2" borderId="0" xfId="0" applyFont="1" applyFill="1" applyBorder="1" applyAlignment="1">
      <alignment/>
    </xf>
    <xf numFmtId="0" fontId="14" fillId="2" borderId="0" xfId="0" applyFont="1" applyFill="1" applyBorder="1" applyAlignment="1" quotePrefix="1">
      <alignment horizontal="left" vertical="center"/>
    </xf>
    <xf numFmtId="0" fontId="13" fillId="0" borderId="0" xfId="0" applyFont="1" applyBorder="1" applyAlignment="1">
      <alignment vertical="center"/>
    </xf>
    <xf numFmtId="41" fontId="21" fillId="0" borderId="0" xfId="0" applyNumberFormat="1" applyFont="1" applyBorder="1" applyAlignment="1">
      <alignment/>
    </xf>
    <xf numFmtId="41" fontId="14" fillId="0" borderId="0" xfId="0" applyNumberFormat="1" applyFont="1" applyBorder="1" applyAlignment="1">
      <alignment horizontal="left"/>
    </xf>
    <xf numFmtId="0" fontId="13" fillId="0" borderId="7" xfId="0" applyFont="1" applyBorder="1" applyAlignment="1">
      <alignment/>
    </xf>
    <xf numFmtId="41" fontId="14" fillId="0" borderId="7" xfId="0" applyNumberFormat="1" applyFont="1" applyBorder="1" applyAlignment="1">
      <alignment horizontal="right"/>
    </xf>
    <xf numFmtId="0" fontId="13" fillId="0" borderId="8" xfId="0" applyFont="1" applyBorder="1" applyAlignment="1">
      <alignment/>
    </xf>
    <xf numFmtId="0" fontId="17" fillId="0" borderId="0" xfId="0" applyFont="1" applyBorder="1" applyAlignment="1">
      <alignment horizontal="center" vertical="top"/>
    </xf>
    <xf numFmtId="41" fontId="17" fillId="0" borderId="0" xfId="0" applyNumberFormat="1" applyFont="1" applyBorder="1" applyAlignment="1">
      <alignment horizontal="center" vertical="top"/>
    </xf>
    <xf numFmtId="0" fontId="21" fillId="0" borderId="0" xfId="0" applyFont="1" applyBorder="1" applyAlignment="1">
      <alignment horizontal="center"/>
    </xf>
    <xf numFmtId="0" fontId="21" fillId="0" borderId="0" xfId="0" applyFont="1" applyBorder="1" applyAlignment="1">
      <alignment/>
    </xf>
    <xf numFmtId="41" fontId="21" fillId="0" borderId="0" xfId="15" applyNumberFormat="1" applyFont="1" applyBorder="1" applyAlignment="1">
      <alignment/>
    </xf>
    <xf numFmtId="0" fontId="31" fillId="0" borderId="0" xfId="0" applyFont="1" applyBorder="1" applyAlignment="1">
      <alignment/>
    </xf>
    <xf numFmtId="0" fontId="27" fillId="0" borderId="0" xfId="0" applyFont="1" applyAlignment="1">
      <alignment wrapText="1"/>
    </xf>
    <xf numFmtId="164" fontId="28" fillId="0" borderId="0" xfId="15" applyNumberFormat="1" applyFont="1" applyAlignment="1">
      <alignment horizontal="center"/>
    </xf>
    <xf numFmtId="164" fontId="17" fillId="0" borderId="0" xfId="15" applyNumberFormat="1" applyFont="1" applyAlignment="1">
      <alignment horizontal="center" vertical="center"/>
    </xf>
    <xf numFmtId="0" fontId="14" fillId="0" borderId="0" xfId="0" applyFont="1" applyAlignment="1" quotePrefix="1">
      <alignment horizontal="justify" wrapText="1"/>
    </xf>
    <xf numFmtId="49" fontId="17" fillId="0" borderId="12" xfId="15" applyNumberFormat="1" applyFont="1" applyFill="1" applyBorder="1" applyAlignment="1">
      <alignment horizontal="right" vertical="center"/>
    </xf>
    <xf numFmtId="4" fontId="14" fillId="2" borderId="8" xfId="15" applyNumberFormat="1" applyFont="1" applyFill="1" applyBorder="1" applyAlignment="1">
      <alignment horizontal="right"/>
    </xf>
    <xf numFmtId="164" fontId="14" fillId="0" borderId="0" xfId="15" applyNumberFormat="1" applyFont="1" applyAlignment="1">
      <alignment horizontal="right"/>
    </xf>
    <xf numFmtId="37" fontId="14" fillId="0" borderId="0" xfId="29" applyNumberFormat="1" applyFont="1" applyAlignment="1">
      <alignment horizontal="center" vertical="center"/>
      <protection/>
    </xf>
    <xf numFmtId="37" fontId="14" fillId="0" borderId="0" xfId="29" applyNumberFormat="1" applyFont="1" applyBorder="1" applyAlignment="1">
      <alignment horizontal="center" vertical="center"/>
      <protection/>
    </xf>
    <xf numFmtId="37" fontId="17" fillId="0" borderId="14" xfId="28" applyNumberFormat="1" applyFont="1" applyFill="1" applyBorder="1" applyAlignment="1">
      <alignment horizontal="center" vertical="center" wrapText="1"/>
      <protection/>
    </xf>
    <xf numFmtId="43" fontId="17" fillId="0" borderId="14" xfId="15" applyFont="1" applyFill="1" applyBorder="1" applyAlignment="1">
      <alignment horizontal="center" vertical="center" wrapText="1"/>
    </xf>
    <xf numFmtId="164" fontId="17" fillId="0" borderId="0" xfId="15" applyNumberFormat="1" applyFont="1" applyBorder="1" applyAlignment="1">
      <alignment horizontal="center" vertical="center" wrapText="1"/>
    </xf>
    <xf numFmtId="37" fontId="17" fillId="0" borderId="3" xfId="28" applyNumberFormat="1" applyFont="1" applyBorder="1" applyAlignment="1">
      <alignment horizontal="center" vertical="center"/>
      <protection/>
    </xf>
    <xf numFmtId="37" fontId="17" fillId="0" borderId="15" xfId="28" applyNumberFormat="1" applyFont="1" applyBorder="1" applyAlignment="1">
      <alignment horizontal="left"/>
      <protection/>
    </xf>
    <xf numFmtId="37" fontId="17" fillId="0" borderId="16" xfId="28" applyNumberFormat="1" applyFont="1" applyBorder="1" applyAlignment="1" quotePrefix="1">
      <alignment horizontal="center"/>
      <protection/>
    </xf>
    <xf numFmtId="37" fontId="17" fillId="0" borderId="16" xfId="28" applyNumberFormat="1" applyFont="1" applyBorder="1" applyAlignment="1">
      <alignment horizontal="right"/>
      <protection/>
    </xf>
    <xf numFmtId="37" fontId="17" fillId="0" borderId="16" xfId="28" applyNumberFormat="1" applyFont="1" applyBorder="1" applyAlignment="1" quotePrefix="1">
      <alignment horizontal="right"/>
      <protection/>
    </xf>
    <xf numFmtId="37" fontId="17" fillId="0" borderId="17" xfId="28" applyNumberFormat="1" applyFont="1" applyBorder="1" applyAlignment="1" quotePrefix="1">
      <alignment horizontal="right"/>
      <protection/>
    </xf>
    <xf numFmtId="10" fontId="17" fillId="0" borderId="5" xfId="28" applyNumberFormat="1" applyFont="1" applyBorder="1" applyAlignment="1">
      <alignment horizontal="center"/>
      <protection/>
    </xf>
    <xf numFmtId="37" fontId="14" fillId="0" borderId="0" xfId="0" applyNumberFormat="1" applyFont="1" applyAlignment="1">
      <alignment/>
    </xf>
    <xf numFmtId="37" fontId="14" fillId="0" borderId="18" xfId="28" applyNumberFormat="1" applyFont="1" applyBorder="1" applyAlignment="1">
      <alignment horizontal="left"/>
      <protection/>
    </xf>
    <xf numFmtId="37" fontId="14" fillId="0" borderId="19" xfId="28" applyNumberFormat="1" applyFont="1" applyBorder="1" applyAlignment="1" quotePrefix="1">
      <alignment horizontal="center"/>
      <protection/>
    </xf>
    <xf numFmtId="37" fontId="14" fillId="0" borderId="19" xfId="28" applyNumberFormat="1" applyFont="1" applyBorder="1" applyAlignment="1">
      <alignment horizontal="right"/>
      <protection/>
    </xf>
    <xf numFmtId="164" fontId="14" fillId="0" borderId="19" xfId="15" applyNumberFormat="1" applyFont="1" applyBorder="1" applyAlignment="1">
      <alignment horizontal="right"/>
    </xf>
    <xf numFmtId="164" fontId="14" fillId="0" borderId="20" xfId="15" applyNumberFormat="1" applyFont="1" applyBorder="1" applyAlignment="1">
      <alignment horizontal="right"/>
    </xf>
    <xf numFmtId="10" fontId="17" fillId="0" borderId="6" xfId="28" applyNumberFormat="1" applyFont="1" applyBorder="1" applyAlignment="1">
      <alignment horizontal="center"/>
      <protection/>
    </xf>
    <xf numFmtId="37" fontId="17" fillId="0" borderId="21" xfId="28" applyNumberFormat="1" applyFont="1" applyBorder="1" applyAlignment="1">
      <alignment horizontal="left"/>
      <protection/>
    </xf>
    <xf numFmtId="37" fontId="17" fillId="0" borderId="22" xfId="28" applyNumberFormat="1" applyFont="1" applyBorder="1" applyAlignment="1" quotePrefix="1">
      <alignment horizontal="center"/>
      <protection/>
    </xf>
    <xf numFmtId="37" fontId="17" fillId="0" borderId="19" xfId="28" applyNumberFormat="1" applyFont="1" applyBorder="1" applyAlignment="1">
      <alignment horizontal="right"/>
      <protection/>
    </xf>
    <xf numFmtId="164" fontId="17" fillId="0" borderId="19" xfId="15" applyNumberFormat="1" applyFont="1" applyBorder="1" applyAlignment="1">
      <alignment horizontal="right"/>
    </xf>
    <xf numFmtId="164" fontId="17" fillId="0" borderId="20" xfId="15" applyNumberFormat="1" applyFont="1" applyBorder="1" applyAlignment="1">
      <alignment horizontal="right"/>
    </xf>
    <xf numFmtId="10" fontId="17" fillId="0" borderId="0" xfId="28" applyNumberFormat="1" applyFont="1" applyBorder="1" applyAlignment="1">
      <alignment horizontal="center"/>
      <protection/>
    </xf>
    <xf numFmtId="37" fontId="17" fillId="0" borderId="18" xfId="28" applyNumberFormat="1" applyFont="1" applyBorder="1" applyAlignment="1">
      <alignment horizontal="left"/>
      <protection/>
    </xf>
    <xf numFmtId="37" fontId="17" fillId="0" borderId="19" xfId="28" applyNumberFormat="1" applyFont="1" applyBorder="1" applyAlignment="1" quotePrefix="1">
      <alignment horizontal="center"/>
      <protection/>
    </xf>
    <xf numFmtId="37" fontId="17" fillId="0" borderId="19" xfId="28" applyNumberFormat="1" applyFont="1" applyBorder="1" applyAlignment="1" quotePrefix="1">
      <alignment horizontal="right"/>
      <protection/>
    </xf>
    <xf numFmtId="37" fontId="28" fillId="0" borderId="18" xfId="28" applyNumberFormat="1" applyFont="1" applyBorder="1" applyAlignment="1">
      <alignment horizontal="left" indent="1"/>
      <protection/>
    </xf>
    <xf numFmtId="37" fontId="28" fillId="0" borderId="19" xfId="28" applyNumberFormat="1" applyFont="1" applyBorder="1" applyAlignment="1" quotePrefix="1">
      <alignment horizontal="center"/>
      <protection/>
    </xf>
    <xf numFmtId="37" fontId="28" fillId="0" borderId="19" xfId="28" applyNumberFormat="1" applyFont="1" applyBorder="1" applyAlignment="1">
      <alignment horizontal="right"/>
      <protection/>
    </xf>
    <xf numFmtId="164" fontId="28" fillId="0" borderId="19" xfId="15" applyNumberFormat="1" applyFont="1" applyBorder="1" applyAlignment="1">
      <alignment horizontal="right"/>
    </xf>
    <xf numFmtId="164" fontId="28" fillId="0" borderId="20" xfId="15" applyNumberFormat="1" applyFont="1" applyBorder="1" applyAlignment="1">
      <alignment horizontal="right"/>
    </xf>
    <xf numFmtId="37" fontId="17" fillId="0" borderId="23" xfId="28" applyNumberFormat="1" applyFont="1" applyBorder="1" applyAlignment="1">
      <alignment horizontal="left"/>
      <protection/>
    </xf>
    <xf numFmtId="37" fontId="17" fillId="0" borderId="24" xfId="28" applyNumberFormat="1" applyFont="1" applyBorder="1" applyAlignment="1">
      <alignment horizontal="center"/>
      <protection/>
    </xf>
    <xf numFmtId="164" fontId="17" fillId="0" borderId="19" xfId="0" applyNumberFormat="1" applyFont="1" applyBorder="1" applyAlignment="1">
      <alignment horizontal="right"/>
    </xf>
    <xf numFmtId="164" fontId="17" fillId="0" borderId="20" xfId="0" applyNumberFormat="1" applyFont="1" applyBorder="1" applyAlignment="1">
      <alignment horizontal="right"/>
    </xf>
    <xf numFmtId="37" fontId="17" fillId="0" borderId="25" xfId="28" applyNumberFormat="1" applyFont="1" applyBorder="1" applyAlignment="1">
      <alignment horizontal="left"/>
      <protection/>
    </xf>
    <xf numFmtId="37" fontId="17" fillId="0" borderId="26" xfId="28" applyNumberFormat="1" applyFont="1" applyBorder="1" applyAlignment="1">
      <alignment horizontal="center"/>
      <protection/>
    </xf>
    <xf numFmtId="37" fontId="14" fillId="0" borderId="19" xfId="28" applyNumberFormat="1" applyFont="1" applyBorder="1" applyAlignment="1">
      <alignment horizontal="center"/>
      <protection/>
    </xf>
    <xf numFmtId="37" fontId="17" fillId="0" borderId="27" xfId="28" applyNumberFormat="1" applyFont="1" applyBorder="1" applyAlignment="1">
      <alignment horizontal="left"/>
      <protection/>
    </xf>
    <xf numFmtId="37" fontId="17" fillId="0" borderId="28" xfId="28" applyNumberFormat="1" applyFont="1" applyBorder="1" applyAlignment="1">
      <alignment horizontal="center"/>
      <protection/>
    </xf>
    <xf numFmtId="164" fontId="17" fillId="0" borderId="29" xfId="15" applyNumberFormat="1" applyFont="1" applyBorder="1" applyAlignment="1">
      <alignment horizontal="right"/>
    </xf>
    <xf numFmtId="164" fontId="17" fillId="0" borderId="30" xfId="15" applyNumberFormat="1" applyFont="1" applyBorder="1" applyAlignment="1">
      <alignment horizontal="right"/>
    </xf>
    <xf numFmtId="37" fontId="14" fillId="0" borderId="0" xfId="28" applyNumberFormat="1" applyFont="1" applyAlignment="1">
      <alignment horizontal="center" vertical="center"/>
      <protection/>
    </xf>
    <xf numFmtId="37" fontId="14" fillId="0" borderId="0" xfId="0" applyNumberFormat="1" applyFont="1" applyAlignment="1">
      <alignment horizontal="center"/>
    </xf>
    <xf numFmtId="37" fontId="17" fillId="0" borderId="29" xfId="28" applyNumberFormat="1" applyFont="1" applyBorder="1" applyAlignment="1">
      <alignment horizontal="right"/>
      <protection/>
    </xf>
    <xf numFmtId="37" fontId="14" fillId="0" borderId="31" xfId="28" applyNumberFormat="1" applyFont="1" applyBorder="1" applyAlignment="1">
      <alignment horizontal="left" indent="1"/>
      <protection/>
    </xf>
    <xf numFmtId="37" fontId="14" fillId="0" borderId="32" xfId="28" applyNumberFormat="1" applyFont="1" applyBorder="1" applyAlignment="1">
      <alignment horizontal="center"/>
      <protection/>
    </xf>
    <xf numFmtId="37" fontId="14" fillId="0" borderId="32" xfId="28" applyNumberFormat="1" applyFont="1" applyBorder="1" applyAlignment="1">
      <alignment horizontal="right"/>
      <protection/>
    </xf>
    <xf numFmtId="164" fontId="14" fillId="0" borderId="32" xfId="15" applyNumberFormat="1" applyFont="1" applyBorder="1" applyAlignment="1">
      <alignment horizontal="right"/>
    </xf>
    <xf numFmtId="164" fontId="14" fillId="0" borderId="33" xfId="15" applyNumberFormat="1" applyFont="1" applyBorder="1" applyAlignment="1">
      <alignment horizontal="right"/>
    </xf>
    <xf numFmtId="37" fontId="17" fillId="0" borderId="34" xfId="28" applyNumberFormat="1" applyFont="1" applyBorder="1" applyAlignment="1">
      <alignment horizontal="left"/>
      <protection/>
    </xf>
    <xf numFmtId="37" fontId="14" fillId="0" borderId="35" xfId="28" applyNumberFormat="1" applyFont="1" applyBorder="1" applyAlignment="1">
      <alignment horizontal="center"/>
      <protection/>
    </xf>
    <xf numFmtId="164" fontId="14" fillId="0" borderId="35" xfId="15" applyNumberFormat="1" applyFont="1" applyBorder="1" applyAlignment="1">
      <alignment horizontal="right"/>
    </xf>
    <xf numFmtId="164" fontId="14" fillId="0" borderId="36" xfId="15" applyNumberFormat="1" applyFont="1" applyBorder="1" applyAlignment="1">
      <alignment horizontal="right"/>
    </xf>
    <xf numFmtId="37" fontId="14" fillId="0" borderId="16" xfId="28" applyNumberFormat="1" applyFont="1" applyBorder="1" applyAlignment="1">
      <alignment horizontal="center"/>
      <protection/>
    </xf>
    <xf numFmtId="37" fontId="28" fillId="0" borderId="19" xfId="28" applyNumberFormat="1" applyFont="1" applyBorder="1" applyAlignment="1">
      <alignment horizontal="center"/>
      <protection/>
    </xf>
    <xf numFmtId="37" fontId="14" fillId="0" borderId="29" xfId="28" applyNumberFormat="1" applyFont="1" applyBorder="1" applyAlignment="1">
      <alignment horizontal="center"/>
      <protection/>
    </xf>
    <xf numFmtId="37" fontId="14" fillId="0" borderId="24" xfId="28" applyNumberFormat="1" applyFont="1" applyBorder="1" applyAlignment="1">
      <alignment horizontal="center"/>
      <protection/>
    </xf>
    <xf numFmtId="41" fontId="17" fillId="0" borderId="0" xfId="15" applyNumberFormat="1" applyFont="1" applyFill="1" applyBorder="1" applyAlignment="1">
      <alignment horizontal="right"/>
    </xf>
    <xf numFmtId="41" fontId="17" fillId="0" borderId="0" xfId="15" applyNumberFormat="1" applyFont="1" applyFill="1" applyBorder="1" applyAlignment="1">
      <alignment/>
    </xf>
    <xf numFmtId="41" fontId="27" fillId="2" borderId="0" xfId="0" applyNumberFormat="1" applyFont="1" applyFill="1" applyAlignment="1">
      <alignment/>
    </xf>
    <xf numFmtId="3" fontId="14" fillId="0" borderId="5" xfId="31" applyNumberFormat="1" applyFont="1" applyBorder="1" applyAlignment="1">
      <alignment horizontal="left"/>
      <protection/>
    </xf>
    <xf numFmtId="3" fontId="14" fillId="0" borderId="5" xfId="15" applyNumberFormat="1" applyFont="1" applyBorder="1" applyAlignment="1">
      <alignment horizontal="right"/>
    </xf>
    <xf numFmtId="167" fontId="14" fillId="0" borderId="5" xfId="31" applyNumberFormat="1" applyFont="1" applyBorder="1" applyAlignment="1">
      <alignment horizontal="right"/>
      <protection/>
    </xf>
    <xf numFmtId="164" fontId="14" fillId="0" borderId="5" xfId="15" applyNumberFormat="1" applyFont="1" applyBorder="1" applyAlignment="1">
      <alignment horizontal="right"/>
    </xf>
    <xf numFmtId="3" fontId="14" fillId="0" borderId="0" xfId="15" applyNumberFormat="1" applyFont="1" applyBorder="1" applyAlignment="1" quotePrefix="1">
      <alignment horizontal="left"/>
    </xf>
    <xf numFmtId="164" fontId="14" fillId="2" borderId="0" xfId="15" applyNumberFormat="1" applyFont="1" applyFill="1" applyBorder="1" applyAlignment="1">
      <alignment/>
    </xf>
    <xf numFmtId="164" fontId="21" fillId="2" borderId="0" xfId="15" applyNumberFormat="1" applyFont="1" applyFill="1" applyBorder="1" applyAlignment="1">
      <alignment/>
    </xf>
    <xf numFmtId="164" fontId="21" fillId="2" borderId="0" xfId="0" applyNumberFormat="1" applyFont="1" applyFill="1" applyAlignment="1">
      <alignment/>
    </xf>
    <xf numFmtId="0" fontId="13" fillId="2" borderId="0" xfId="0" applyFont="1" applyFill="1" applyAlignment="1">
      <alignment/>
    </xf>
    <xf numFmtId="0" fontId="21" fillId="2" borderId="0" xfId="0" applyFont="1" applyFill="1" applyAlignment="1">
      <alignment/>
    </xf>
    <xf numFmtId="164" fontId="35" fillId="0" borderId="0" xfId="15" applyNumberFormat="1" applyFont="1" applyAlignment="1">
      <alignment/>
    </xf>
    <xf numFmtId="49" fontId="17" fillId="0" borderId="3" xfId="0" applyNumberFormat="1" applyFont="1" applyFill="1" applyBorder="1" applyAlignment="1">
      <alignment horizontal="right" vertical="center" wrapText="1"/>
    </xf>
    <xf numFmtId="164" fontId="27" fillId="2" borderId="0" xfId="15" applyNumberFormat="1" applyFont="1" applyFill="1" applyBorder="1" applyAlignment="1">
      <alignment/>
    </xf>
    <xf numFmtId="41" fontId="27" fillId="2" borderId="0" xfId="0" applyNumberFormat="1" applyFont="1" applyFill="1" applyBorder="1" applyAlignment="1">
      <alignment horizontal="right" vertical="center"/>
    </xf>
    <xf numFmtId="41" fontId="28" fillId="0" borderId="0" xfId="0" applyNumberFormat="1" applyFont="1" applyAlignment="1" quotePrefix="1">
      <alignment horizontal="left"/>
    </xf>
    <xf numFmtId="37" fontId="14" fillId="0" borderId="9" xfId="15" applyNumberFormat="1" applyFont="1" applyBorder="1" applyAlignment="1">
      <alignment horizontal="right"/>
    </xf>
    <xf numFmtId="164" fontId="0" fillId="0" borderId="0" xfId="15" applyNumberFormat="1" applyAlignment="1">
      <alignment/>
    </xf>
    <xf numFmtId="3" fontId="17" fillId="0" borderId="2" xfId="0" applyNumberFormat="1" applyFont="1" applyBorder="1" applyAlignment="1">
      <alignment horizontal="center"/>
    </xf>
    <xf numFmtId="3" fontId="17" fillId="0" borderId="2" xfId="0" applyNumberFormat="1" applyFont="1" applyBorder="1" applyAlignment="1">
      <alignment/>
    </xf>
    <xf numFmtId="0" fontId="14" fillId="0" borderId="0" xfId="0" applyFont="1" applyBorder="1" applyAlignment="1">
      <alignment horizontal="left" vertical="center" wrapText="1" indent="1"/>
    </xf>
    <xf numFmtId="164" fontId="17" fillId="0" borderId="0" xfId="27" applyNumberFormat="1" applyFont="1" applyBorder="1" applyAlignment="1">
      <alignment horizontal="left" vertical="center"/>
      <protection/>
    </xf>
    <xf numFmtId="0" fontId="27" fillId="0" borderId="0" xfId="0" applyFont="1" applyAlignment="1">
      <alignment horizontal="justify" wrapText="1"/>
    </xf>
    <xf numFmtId="41" fontId="16" fillId="0" borderId="0" xfId="15" applyNumberFormat="1" applyFont="1" applyBorder="1" applyAlignment="1" quotePrefix="1">
      <alignment horizontal="right"/>
    </xf>
    <xf numFmtId="41" fontId="15" fillId="0" borderId="4" xfId="15" applyNumberFormat="1" applyFont="1" applyFill="1" applyBorder="1" applyAlignment="1">
      <alignment horizontal="right"/>
    </xf>
    <xf numFmtId="0" fontId="40" fillId="0" borderId="0" xfId="0" applyFont="1" applyAlignment="1">
      <alignment horizontal="left"/>
    </xf>
    <xf numFmtId="164" fontId="17" fillId="0" borderId="0" xfId="15" applyNumberFormat="1" applyFont="1" applyAlignment="1">
      <alignment vertical="center"/>
    </xf>
    <xf numFmtId="0" fontId="0" fillId="0" borderId="0" xfId="0" applyAlignment="1">
      <alignment horizontal="center"/>
    </xf>
    <xf numFmtId="0" fontId="42" fillId="0" borderId="37" xfId="0" applyFont="1" applyBorder="1" applyAlignment="1">
      <alignment horizontal="center"/>
    </xf>
    <xf numFmtId="0" fontId="42" fillId="0" borderId="38" xfId="0" applyFont="1" applyBorder="1" applyAlignment="1">
      <alignment horizontal="center"/>
    </xf>
    <xf numFmtId="14" fontId="42" fillId="0" borderId="38" xfId="0" applyNumberFormat="1" applyFont="1" applyBorder="1" applyAlignment="1">
      <alignment horizontal="center"/>
    </xf>
    <xf numFmtId="14" fontId="42" fillId="0" borderId="39" xfId="0" applyNumberFormat="1" applyFont="1" applyBorder="1" applyAlignment="1">
      <alignment horizontal="center"/>
    </xf>
    <xf numFmtId="0" fontId="42" fillId="0" borderId="40" xfId="0" applyFont="1" applyBorder="1" applyAlignment="1">
      <alignment horizontal="center"/>
    </xf>
    <xf numFmtId="0" fontId="42" fillId="0" borderId="41" xfId="0" applyFont="1" applyBorder="1" applyAlignment="1">
      <alignment horizontal="left"/>
    </xf>
    <xf numFmtId="41" fontId="42" fillId="0" borderId="41" xfId="0" applyNumberFormat="1" applyFont="1" applyBorder="1" applyAlignment="1">
      <alignment/>
    </xf>
    <xf numFmtId="41" fontId="42" fillId="0" borderId="42" xfId="0" applyNumberFormat="1" applyFont="1" applyBorder="1" applyAlignment="1">
      <alignment/>
    </xf>
    <xf numFmtId="0" fontId="1" fillId="0" borderId="43" xfId="0" applyFont="1" applyBorder="1" applyAlignment="1">
      <alignment horizontal="center"/>
    </xf>
    <xf numFmtId="0" fontId="1" fillId="0" borderId="44" xfId="0" applyFont="1" applyBorder="1" applyAlignment="1">
      <alignment/>
    </xf>
    <xf numFmtId="41" fontId="1" fillId="0" borderId="44" xfId="16" applyFont="1" applyBorder="1" applyAlignment="1">
      <alignment/>
    </xf>
    <xf numFmtId="0" fontId="42" fillId="0" borderId="43" xfId="0" applyFont="1" applyBorder="1" applyAlignment="1">
      <alignment horizontal="center"/>
    </xf>
    <xf numFmtId="0" fontId="42" fillId="0" borderId="44" xfId="0" applyFont="1" applyBorder="1" applyAlignment="1">
      <alignment/>
    </xf>
    <xf numFmtId="41" fontId="42" fillId="0" borderId="45" xfId="16" applyFont="1" applyBorder="1" applyAlignment="1">
      <alignment/>
    </xf>
    <xf numFmtId="0" fontId="42" fillId="0" borderId="44" xfId="0" applyFont="1" applyBorder="1" applyAlignment="1">
      <alignment horizontal="left"/>
    </xf>
    <xf numFmtId="41" fontId="42" fillId="0" borderId="44" xfId="16" applyFont="1" applyBorder="1" applyAlignment="1">
      <alignment/>
    </xf>
    <xf numFmtId="41" fontId="1" fillId="0" borderId="45" xfId="16" applyFont="1" applyBorder="1" applyAlignment="1">
      <alignment/>
    </xf>
    <xf numFmtId="0" fontId="42" fillId="0" borderId="46" xfId="0" applyFont="1" applyBorder="1" applyAlignment="1">
      <alignment horizontal="center"/>
    </xf>
    <xf numFmtId="0" fontId="42" fillId="0" borderId="47" xfId="0" applyFont="1" applyBorder="1" applyAlignment="1">
      <alignment/>
    </xf>
    <xf numFmtId="41" fontId="42" fillId="0" borderId="47" xfId="16" applyFont="1" applyBorder="1" applyAlignment="1">
      <alignment/>
    </xf>
    <xf numFmtId="41" fontId="42" fillId="0" borderId="48" xfId="16" applyFont="1" applyBorder="1" applyAlignment="1">
      <alignment/>
    </xf>
    <xf numFmtId="0" fontId="42" fillId="0" borderId="49" xfId="0" applyFont="1" applyBorder="1" applyAlignment="1">
      <alignment horizontal="center" vertical="center"/>
    </xf>
    <xf numFmtId="0" fontId="42" fillId="0" borderId="50" xfId="0" applyFont="1" applyBorder="1" applyAlignment="1">
      <alignment horizontal="center" vertical="center" wrapText="1"/>
    </xf>
    <xf numFmtId="14" fontId="42" fillId="0" borderId="51" xfId="0" applyNumberFormat="1" applyFont="1" applyBorder="1" applyAlignment="1">
      <alignment horizontal="center" vertical="center" wrapText="1"/>
    </xf>
    <xf numFmtId="0" fontId="42" fillId="0" borderId="52" xfId="0" applyFont="1" applyBorder="1" applyAlignment="1">
      <alignment horizontal="center" vertical="center" wrapText="1"/>
    </xf>
    <xf numFmtId="0" fontId="42" fillId="0" borderId="0" xfId="0" applyFont="1" applyAlignment="1">
      <alignment/>
    </xf>
    <xf numFmtId="0" fontId="1" fillId="0" borderId="53" xfId="0" applyFont="1" applyBorder="1" applyAlignment="1">
      <alignment horizontal="center"/>
    </xf>
    <xf numFmtId="0" fontId="42" fillId="0" borderId="54" xfId="0" applyFont="1" applyBorder="1" applyAlignment="1">
      <alignment/>
    </xf>
    <xf numFmtId="164" fontId="42" fillId="0" borderId="55" xfId="15" applyNumberFormat="1" applyFont="1" applyBorder="1" applyAlignment="1">
      <alignment/>
    </xf>
    <xf numFmtId="164" fontId="1" fillId="0" borderId="0" xfId="15" applyNumberFormat="1" applyFont="1" applyAlignment="1">
      <alignment/>
    </xf>
    <xf numFmtId="0" fontId="1" fillId="0" borderId="0" xfId="0" applyFont="1" applyAlignment="1">
      <alignment/>
    </xf>
    <xf numFmtId="0" fontId="1" fillId="0" borderId="56" xfId="0" applyFont="1" applyBorder="1" applyAlignment="1">
      <alignment horizontal="center"/>
    </xf>
    <xf numFmtId="0" fontId="42" fillId="0" borderId="57" xfId="0" applyFont="1" applyBorder="1" applyAlignment="1">
      <alignment/>
    </xf>
    <xf numFmtId="164" fontId="42" fillId="0" borderId="44" xfId="15" applyNumberFormat="1" applyFont="1" applyBorder="1" applyAlignment="1">
      <alignment/>
    </xf>
    <xf numFmtId="164" fontId="1" fillId="0" borderId="44" xfId="15" applyNumberFormat="1" applyFont="1" applyBorder="1" applyAlignment="1">
      <alignment/>
    </xf>
    <xf numFmtId="43" fontId="42" fillId="0" borderId="44" xfId="15" applyNumberFormat="1" applyFont="1" applyBorder="1" applyAlignment="1">
      <alignment/>
    </xf>
    <xf numFmtId="0" fontId="42" fillId="0" borderId="58" xfId="0" applyFont="1" applyBorder="1" applyAlignment="1">
      <alignment/>
    </xf>
    <xf numFmtId="164" fontId="42" fillId="0" borderId="59" xfId="15" applyNumberFormat="1" applyFont="1" applyBorder="1" applyAlignment="1">
      <alignment/>
    </xf>
    <xf numFmtId="164" fontId="1" fillId="0" borderId="59" xfId="15" applyNumberFormat="1" applyFont="1" applyBorder="1" applyAlignment="1">
      <alignment/>
    </xf>
    <xf numFmtId="0" fontId="0" fillId="0" borderId="0" xfId="0" applyFont="1" applyAlignment="1">
      <alignment/>
    </xf>
    <xf numFmtId="38" fontId="14" fillId="0" borderId="0" xfId="0" applyNumberFormat="1" applyFont="1" applyBorder="1" applyAlignment="1">
      <alignment/>
    </xf>
    <xf numFmtId="0" fontId="14" fillId="0" borderId="0" xfId="0" applyFont="1" applyAlignment="1" quotePrefix="1">
      <alignment horizontal="justify" wrapText="1"/>
    </xf>
    <xf numFmtId="0" fontId="14" fillId="0" borderId="0" xfId="0" applyFont="1" applyAlignment="1">
      <alignment horizontal="justify" wrapText="1"/>
    </xf>
    <xf numFmtId="0" fontId="17" fillId="0" borderId="3" xfId="0" applyFont="1" applyFill="1" applyBorder="1" applyAlignment="1">
      <alignment horizontal="center" vertical="center"/>
    </xf>
    <xf numFmtId="0" fontId="14" fillId="0" borderId="8" xfId="0" applyFont="1" applyBorder="1" applyAlignment="1">
      <alignment horizontal="left" wrapText="1"/>
    </xf>
    <xf numFmtId="0" fontId="0" fillId="0" borderId="8" xfId="0" applyBorder="1" applyAlignment="1">
      <alignment horizontal="left" wrapText="1"/>
    </xf>
    <xf numFmtId="3" fontId="14" fillId="0" borderId="0" xfId="0" applyNumberFormat="1" applyFont="1" applyAlignment="1">
      <alignment horizontal="justify" wrapText="1"/>
    </xf>
    <xf numFmtId="41" fontId="17" fillId="0" borderId="4" xfId="0" applyNumberFormat="1" applyFont="1" applyBorder="1" applyAlignment="1">
      <alignment horizontal="right" vertical="center"/>
    </xf>
    <xf numFmtId="3" fontId="14" fillId="0" borderId="0" xfId="15" applyNumberFormat="1" applyFont="1" applyBorder="1" applyAlignment="1" quotePrefix="1">
      <alignment vertical="center" wrapText="1"/>
    </xf>
    <xf numFmtId="0" fontId="18" fillId="0" borderId="0" xfId="0" applyFont="1" applyAlignment="1">
      <alignment vertical="center" wrapText="1"/>
    </xf>
    <xf numFmtId="3" fontId="14" fillId="0" borderId="0" xfId="15" applyNumberFormat="1" applyFont="1" applyBorder="1" applyAlignment="1" quotePrefix="1">
      <alignment wrapText="1"/>
    </xf>
    <xf numFmtId="0" fontId="18" fillId="0" borderId="0" xfId="0" applyFont="1" applyAlignment="1">
      <alignment wrapText="1"/>
    </xf>
    <xf numFmtId="3" fontId="14" fillId="0" borderId="0" xfId="0" applyNumberFormat="1" applyFont="1" applyAlignment="1" quotePrefix="1">
      <alignment horizontal="justify" wrapText="1"/>
    </xf>
    <xf numFmtId="3" fontId="14" fillId="0" borderId="0" xfId="0" applyNumberFormat="1" applyFont="1" applyAlignment="1">
      <alignment horizontal="justify" vertical="top" wrapText="1"/>
    </xf>
    <xf numFmtId="3" fontId="17" fillId="0" borderId="0" xfId="0" applyNumberFormat="1" applyFont="1" applyAlignment="1">
      <alignment horizontal="justify" wrapText="1"/>
    </xf>
    <xf numFmtId="0" fontId="26" fillId="0" borderId="0" xfId="0" applyFont="1" applyFill="1" applyBorder="1" applyAlignment="1">
      <alignment horizontal="justify" wrapText="1"/>
    </xf>
    <xf numFmtId="0" fontId="0" fillId="0" borderId="0" xfId="0" applyBorder="1" applyAlignment="1">
      <alignment horizontal="justify" wrapText="1"/>
    </xf>
    <xf numFmtId="41" fontId="17" fillId="0" borderId="1" xfId="15" applyNumberFormat="1" applyFont="1" applyFill="1" applyBorder="1" applyAlignment="1">
      <alignment horizontal="right"/>
    </xf>
    <xf numFmtId="0" fontId="14" fillId="0" borderId="0" xfId="0" applyFont="1" applyBorder="1" applyAlignment="1" quotePrefix="1">
      <alignment horizontal="left"/>
    </xf>
    <xf numFmtId="164" fontId="28" fillId="0" borderId="0" xfId="15" applyNumberFormat="1" applyFont="1" applyAlignment="1">
      <alignment horizontal="center"/>
    </xf>
    <xf numFmtId="164" fontId="17" fillId="0" borderId="0" xfId="15" applyNumberFormat="1" applyFont="1" applyAlignment="1">
      <alignment horizontal="center" vertical="center"/>
    </xf>
    <xf numFmtId="164" fontId="14" fillId="0" borderId="0" xfId="15" applyNumberFormat="1" applyFont="1" applyAlignment="1">
      <alignment horizontal="center"/>
    </xf>
    <xf numFmtId="43" fontId="17" fillId="0" borderId="60" xfId="15" applyFont="1" applyFill="1" applyBorder="1" applyAlignment="1">
      <alignment horizontal="center" vertical="center" wrapText="1"/>
    </xf>
    <xf numFmtId="37" fontId="17" fillId="0" borderId="60" xfId="28" applyNumberFormat="1" applyFont="1" applyFill="1" applyBorder="1" applyAlignment="1">
      <alignment horizontal="center" vertical="center"/>
      <protection/>
    </xf>
    <xf numFmtId="37" fontId="17" fillId="0" borderId="14" xfId="28" applyNumberFormat="1" applyFont="1" applyFill="1" applyBorder="1" applyAlignment="1">
      <alignment horizontal="center" vertical="center"/>
      <protection/>
    </xf>
    <xf numFmtId="37" fontId="17" fillId="0" borderId="60" xfId="28" applyNumberFormat="1" applyFont="1" applyFill="1" applyBorder="1" applyAlignment="1">
      <alignment horizontal="center" vertical="center" wrapText="1"/>
      <protection/>
    </xf>
    <xf numFmtId="37" fontId="17" fillId="0" borderId="14" xfId="28" applyNumberFormat="1" applyFont="1" applyFill="1" applyBorder="1" applyAlignment="1">
      <alignment horizontal="center" vertical="center" wrapText="1"/>
      <protection/>
    </xf>
    <xf numFmtId="37" fontId="17" fillId="0" borderId="60" xfId="30" applyNumberFormat="1" applyFont="1" applyBorder="1" applyAlignment="1">
      <alignment horizontal="center" vertical="center"/>
      <protection/>
    </xf>
    <xf numFmtId="3" fontId="17" fillId="0" borderId="3" xfId="0" applyNumberFormat="1"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left" wrapText="1"/>
    </xf>
    <xf numFmtId="0" fontId="0" fillId="0" borderId="0" xfId="0" applyBorder="1" applyAlignment="1">
      <alignment horizontal="left" wrapText="1"/>
    </xf>
    <xf numFmtId="41" fontId="17" fillId="0" borderId="4" xfId="15" applyNumberFormat="1" applyFont="1" applyFill="1" applyBorder="1" applyAlignment="1">
      <alignment horizontal="right"/>
    </xf>
    <xf numFmtId="0" fontId="26" fillId="0" borderId="0" xfId="0" applyFont="1" applyFill="1" applyBorder="1" applyAlignment="1">
      <alignment horizontal="left" wrapText="1"/>
    </xf>
    <xf numFmtId="0" fontId="32" fillId="0" borderId="0" xfId="0" applyFont="1" applyAlignment="1">
      <alignment horizontal="left" wrapText="1"/>
    </xf>
    <xf numFmtId="0" fontId="14" fillId="0" borderId="3" xfId="31" applyFont="1" applyFill="1" applyBorder="1" applyAlignment="1">
      <alignment vertical="center" wrapText="1"/>
      <protection/>
    </xf>
    <xf numFmtId="0" fontId="0" fillId="0" borderId="3" xfId="0" applyBorder="1" applyAlignment="1">
      <alignment vertical="center" wrapText="1"/>
    </xf>
    <xf numFmtId="0" fontId="37" fillId="2" borderId="0" xfId="31" applyFont="1" applyFill="1" applyBorder="1" applyAlignment="1" quotePrefix="1">
      <alignment horizontal="left" wrapText="1"/>
      <protection/>
    </xf>
    <xf numFmtId="0" fontId="38" fillId="2" borderId="0" xfId="31" applyFont="1" applyFill="1" applyBorder="1" applyAlignment="1" quotePrefix="1">
      <alignment horizontal="justify" vertical="center" wrapText="1"/>
      <protection/>
    </xf>
    <xf numFmtId="0" fontId="0" fillId="0" borderId="0" xfId="0" applyBorder="1" applyAlignment="1">
      <alignment horizontal="justify" vertical="center" wrapText="1"/>
    </xf>
    <xf numFmtId="164" fontId="17" fillId="0" borderId="2" xfId="15" applyNumberFormat="1" applyFont="1" applyBorder="1" applyAlignment="1">
      <alignment horizontal="right"/>
    </xf>
    <xf numFmtId="0" fontId="14" fillId="0" borderId="9" xfId="0" applyFont="1" applyFill="1" applyBorder="1" applyAlignment="1" quotePrefix="1">
      <alignment horizontal="left"/>
    </xf>
    <xf numFmtId="0" fontId="14" fillId="0" borderId="9" xfId="0" applyFont="1" applyFill="1" applyBorder="1" applyAlignment="1">
      <alignment horizontal="left"/>
    </xf>
    <xf numFmtId="0" fontId="14" fillId="0" borderId="0" xfId="0" applyFont="1" applyFill="1" applyBorder="1" applyAlignment="1" quotePrefix="1">
      <alignment horizontal="left"/>
    </xf>
    <xf numFmtId="0" fontId="14" fillId="0" borderId="0" xfId="0" applyFont="1" applyFill="1" applyBorder="1" applyAlignment="1">
      <alignment horizontal="left"/>
    </xf>
    <xf numFmtId="0" fontId="28" fillId="0" borderId="8" xfId="0" applyFont="1" applyFill="1" applyBorder="1" applyAlignment="1">
      <alignment horizontal="left" wrapText="1"/>
    </xf>
    <xf numFmtId="3" fontId="28" fillId="0" borderId="0" xfId="15" applyNumberFormat="1" applyFont="1" applyBorder="1" applyAlignment="1" quotePrefix="1">
      <alignment horizontal="left" wrapText="1"/>
    </xf>
    <xf numFmtId="41" fontId="17" fillId="0" borderId="4" xfId="15" applyNumberFormat="1" applyFont="1" applyBorder="1" applyAlignment="1">
      <alignment horizontal="right"/>
    </xf>
    <xf numFmtId="0" fontId="0" fillId="0" borderId="0" xfId="0" applyFont="1" applyAlignment="1">
      <alignment horizontal="left"/>
    </xf>
    <xf numFmtId="41" fontId="17" fillId="0" borderId="4" xfId="0" applyNumberFormat="1" applyFont="1" applyBorder="1" applyAlignment="1">
      <alignment horizontal="right"/>
    </xf>
    <xf numFmtId="41" fontId="14" fillId="0" borderId="9" xfId="15" applyNumberFormat="1" applyFont="1" applyBorder="1" applyAlignment="1">
      <alignment horizontal="right"/>
    </xf>
    <xf numFmtId="0" fontId="17" fillId="0" borderId="0" xfId="0" applyFont="1" applyAlignment="1">
      <alignment horizontal="left" wrapText="1"/>
    </xf>
    <xf numFmtId="0" fontId="27" fillId="0" borderId="0" xfId="0" applyFont="1" applyAlignment="1">
      <alignment horizontal="justify" wrapText="1"/>
    </xf>
    <xf numFmtId="0" fontId="41" fillId="0" borderId="0" xfId="0" applyFont="1" applyAlignment="1">
      <alignment horizontal="center"/>
    </xf>
    <xf numFmtId="0" fontId="42" fillId="0" borderId="0" xfId="0" applyFont="1" applyAlignment="1">
      <alignment horizontal="center"/>
    </xf>
    <xf numFmtId="0" fontId="43" fillId="0" borderId="0" xfId="0" applyFont="1" applyAlignment="1">
      <alignment horizontal="center"/>
    </xf>
    <xf numFmtId="0" fontId="0" fillId="0" borderId="0" xfId="0" applyFont="1" applyFill="1" applyBorder="1" applyAlignment="1">
      <alignment wrapText="1"/>
    </xf>
    <xf numFmtId="0" fontId="0" fillId="0" borderId="0" xfId="0" applyAlignment="1">
      <alignment wrapText="1"/>
    </xf>
  </cellXfs>
  <cellStyles count="33">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DKT" xfId="27"/>
    <cellStyle name="Normal_KQKD1" xfId="28"/>
    <cellStyle name="Normal_KQKD2" xfId="29"/>
    <cellStyle name="Normal_Sheet1" xfId="30"/>
    <cellStyle name="Normal_thminh1" xfId="31"/>
    <cellStyle name="Percent" xfId="32"/>
    <cellStyle name="Total" xfId="33"/>
    <cellStyle name="똿뗦먛귟 [0.00]_PRODUCT DETAIL Q1" xfId="34"/>
    <cellStyle name="똿뗦먛귟_PRODUCT DETAIL Q1" xfId="35"/>
    <cellStyle name="믅됞 [0.00]_PRODUCT DETAIL Q1" xfId="36"/>
    <cellStyle name="믅됞_PRODUCT DETAIL Q1" xfId="37"/>
    <cellStyle name="백분율_HOBONG" xfId="38"/>
    <cellStyle name="뷭?_BOOKSHIP" xfId="39"/>
    <cellStyle name="一般_BCTC012000Year.VIET(New)" xfId="40"/>
    <cellStyle name="콤마 [0]_1202" xfId="41"/>
    <cellStyle name="콤마_1202" xfId="42"/>
    <cellStyle name="통화 [0]_1202" xfId="43"/>
    <cellStyle name="통화_1202" xfId="44"/>
    <cellStyle name="표준_(정보부문)월별인원계획" xfId="45"/>
    <cellStyle name="표준_kc-elec system check list"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GUYEN%20HIEU\NIEN%20DO%202005\NAM%20VIET\CDKT-N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GUYEN%20HIEU\NIEN%20DO%202005\ORIENTAL%20LION\ORIENTAL%20LION-17.10.06-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Mshome\LOCALS~1\Temp\Rar$DI00.894\BCTC-TS4%20-%20H.nhat%20-22.3.07"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DANGNG~1\LOCALS~1\TEMP\NGUYEN%20HIEU\NIEN%20DO%202005\NAM%20VIET\CDKT-NV.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imaron\My%20Documents\BCTC01-08V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KT"/>
      <sheetName val="KQKD"/>
      <sheetName val="LCTT-GT"/>
      <sheetName val="TM1"/>
      <sheetName val="TM2"/>
      <sheetName val="TMINH3"/>
      <sheetName val="00000000"/>
    </sheetNames>
    <sheetDataSet>
      <sheetData sheetId="0">
        <row r="3">
          <cell r="G3" t="str">
            <v>Ñôn vò tính: VNÑ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TDC-vphong"/>
      <sheetName val="BCTGD"/>
      <sheetName val="CDKT"/>
      <sheetName val="KQKD"/>
      <sheetName val="LCTT-TT"/>
      <sheetName val="TM"/>
      <sheetName val="00000000"/>
      <sheetName val="BIA"/>
      <sheetName val="TITLE"/>
      <sheetName val="MUCLUC"/>
      <sheetName val="CONTENT"/>
      <sheetName val="BC HDQT"/>
      <sheetName val="BOM"/>
      <sheetName val="BS"/>
      <sheetName val="INCOME"/>
      <sheetName val="CASHFLOW"/>
      <sheetName val="NOTE"/>
      <sheetName val="TMINH"/>
    </sheetNames>
    <sheetDataSet>
      <sheetData sheetId="3">
        <row r="3">
          <cell r="I3" t="str">
            <v>Ñôn vò tính : VNÑ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TDC"/>
      <sheetName val="BIA"/>
      <sheetName val="MUCLUC"/>
      <sheetName val="BCTGD"/>
      <sheetName val="BCKT"/>
      <sheetName val="CDKT"/>
      <sheetName val="KQKD"/>
      <sheetName val="LCTT-TT"/>
      <sheetName val="TM"/>
      <sheetName val="00000000"/>
    </sheetNames>
    <sheetDataSet>
      <sheetData sheetId="5">
        <row r="1">
          <cell r="A1" t="str">
            <v>COÂNG TY COÅ PHAÀN THUÛY SAÛN SOÁ 4 </v>
          </cell>
        </row>
        <row r="101">
          <cell r="G101" t="str">
            <v>Toång Giaùm Ñoác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DKT"/>
      <sheetName val="KQKD"/>
      <sheetName val="LCTT-GT"/>
      <sheetName val="TM1"/>
      <sheetName val="TM2"/>
      <sheetName val="TMINH3"/>
      <sheetName val="00000000"/>
    </sheetNames>
    <sheetDataSet>
      <sheetData sheetId="0">
        <row r="3">
          <cell r="G3" t="str">
            <v>Ñôn vò tính: VNÑ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TDC"/>
      <sheetName val="BIA"/>
      <sheetName val="MUCLUC"/>
      <sheetName val="BCTGD"/>
      <sheetName val="BCKT"/>
      <sheetName val="CDKT"/>
      <sheetName val="KQKD"/>
      <sheetName val="LCTT"/>
      <sheetName val="TM"/>
      <sheetName val="00000000"/>
    </sheetNames>
    <sheetDataSet>
      <sheetData sheetId="5">
        <row r="106">
          <cell r="G106" t="str">
            <v>Toång Giaùm Ñoác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07"/>
  <sheetViews>
    <sheetView showGridLines="0" workbookViewId="0" topLeftCell="A8">
      <selection activeCell="A4" sqref="A4"/>
    </sheetView>
  </sheetViews>
  <sheetFormatPr defaultColWidth="8.796875" defaultRowHeight="14.25"/>
  <cols>
    <col min="1" max="1" width="39.19921875" style="26" customWidth="1"/>
    <col min="2" max="2" width="1.59765625" style="26" customWidth="1"/>
    <col min="3" max="3" width="7.69921875" style="10" customWidth="1"/>
    <col min="4" max="4" width="1.8984375" style="10" customWidth="1"/>
    <col min="5" max="5" width="6.5" style="11" customWidth="1"/>
    <col min="6" max="6" width="1.8984375" style="11" customWidth="1"/>
    <col min="7" max="7" width="15.59765625" style="12" customWidth="1"/>
    <col min="8" max="8" width="1.69921875" style="12" customWidth="1"/>
    <col min="9" max="9" width="15.69921875" style="14" customWidth="1"/>
    <col min="10" max="10" width="0.6953125" style="14" customWidth="1"/>
    <col min="11" max="11" width="17" style="6" customWidth="1"/>
    <col min="12" max="12" width="15.3984375" style="6" customWidth="1"/>
    <col min="13" max="13" width="14.69921875" style="6" customWidth="1"/>
    <col min="14" max="14" width="14.09765625" style="6" customWidth="1"/>
    <col min="15" max="16384" width="9" style="6" customWidth="1"/>
  </cols>
  <sheetData>
    <row r="1" spans="1:10" ht="21.75" customHeight="1">
      <c r="A1" s="134" t="s">
        <v>18</v>
      </c>
      <c r="B1" s="134"/>
      <c r="C1" s="323"/>
      <c r="D1" s="323"/>
      <c r="E1" s="324"/>
      <c r="F1" s="324"/>
      <c r="G1" s="36"/>
      <c r="H1" s="36"/>
      <c r="I1" s="287" t="s">
        <v>207</v>
      </c>
      <c r="J1" s="13"/>
    </row>
    <row r="2" spans="1:9" ht="25.5" customHeight="1">
      <c r="A2" s="429" t="s">
        <v>175</v>
      </c>
      <c r="B2" s="43"/>
      <c r="C2" s="323"/>
      <c r="D2" s="323"/>
      <c r="E2" s="324"/>
      <c r="F2" s="324"/>
      <c r="G2" s="36"/>
      <c r="H2" s="36"/>
      <c r="I2" s="325"/>
    </row>
    <row r="3" spans="1:10" ht="21.75" customHeight="1">
      <c r="A3" s="134" t="s">
        <v>543</v>
      </c>
      <c r="B3" s="134"/>
      <c r="C3" s="323"/>
      <c r="D3" s="323"/>
      <c r="E3" s="324"/>
      <c r="F3" s="324"/>
      <c r="G3" s="36"/>
      <c r="H3" s="36"/>
      <c r="I3" s="287" t="s">
        <v>162</v>
      </c>
      <c r="J3" s="13"/>
    </row>
    <row r="4" spans="1:9" ht="3" customHeight="1">
      <c r="A4" s="326"/>
      <c r="B4" s="326"/>
      <c r="C4" s="327"/>
      <c r="D4" s="327"/>
      <c r="E4" s="328"/>
      <c r="F4" s="328"/>
      <c r="G4" s="37"/>
      <c r="H4" s="37"/>
      <c r="I4" s="37"/>
    </row>
    <row r="5" spans="1:10" ht="24" customHeight="1" thickBot="1">
      <c r="A5" s="329"/>
      <c r="B5" s="329"/>
      <c r="C5" s="330"/>
      <c r="D5" s="330"/>
      <c r="E5" s="331"/>
      <c r="F5" s="331"/>
      <c r="G5" s="332"/>
      <c r="H5" s="332"/>
      <c r="I5" s="332"/>
      <c r="J5" s="15"/>
    </row>
    <row r="6" spans="1:10" s="32" customFormat="1" ht="33" customHeight="1" thickBot="1">
      <c r="A6" s="443" t="s">
        <v>176</v>
      </c>
      <c r="B6" s="443"/>
      <c r="C6" s="444" t="s">
        <v>194</v>
      </c>
      <c r="D6" s="444"/>
      <c r="E6" s="445" t="s">
        <v>208</v>
      </c>
      <c r="F6" s="445"/>
      <c r="G6" s="678" t="s">
        <v>544</v>
      </c>
      <c r="H6" s="447"/>
      <c r="I6" s="678" t="s">
        <v>19</v>
      </c>
      <c r="J6" s="16"/>
    </row>
    <row r="7" spans="1:10" ht="24.75" customHeight="1">
      <c r="A7" s="333" t="s">
        <v>209</v>
      </c>
      <c r="B7" s="333"/>
      <c r="C7" s="334">
        <v>100</v>
      </c>
      <c r="D7" s="334"/>
      <c r="E7" s="335"/>
      <c r="F7" s="334"/>
      <c r="G7" s="166">
        <f>G8+G14+G22+G25</f>
        <v>92393877698</v>
      </c>
      <c r="H7" s="166"/>
      <c r="I7" s="166">
        <f>I8+I14+I22+I25</f>
        <v>66354385010</v>
      </c>
      <c r="J7" s="8"/>
    </row>
    <row r="8" spans="1:10" ht="18.75">
      <c r="A8" s="336" t="s">
        <v>210</v>
      </c>
      <c r="B8" s="337"/>
      <c r="C8" s="338">
        <v>110</v>
      </c>
      <c r="D8" s="334"/>
      <c r="E8" s="339"/>
      <c r="F8" s="340"/>
      <c r="G8" s="163">
        <f>G9</f>
        <v>3445048782</v>
      </c>
      <c r="H8" s="166"/>
      <c r="I8" s="163">
        <f>I9</f>
        <v>4019235356</v>
      </c>
      <c r="J8" s="8"/>
    </row>
    <row r="9" spans="1:10" ht="19.5" customHeight="1">
      <c r="A9" s="341" t="s">
        <v>112</v>
      </c>
      <c r="B9" s="341"/>
      <c r="C9" s="342">
        <v>111</v>
      </c>
      <c r="D9" s="342"/>
      <c r="E9" s="343" t="s">
        <v>258</v>
      </c>
      <c r="F9" s="344"/>
      <c r="G9" s="87">
        <f>163733275+3281315506+1</f>
        <v>3445048782</v>
      </c>
      <c r="H9" s="87"/>
      <c r="I9" s="87">
        <f>3017636300-8116183+1009715228+11</f>
        <v>4019235356</v>
      </c>
      <c r="J9" s="7"/>
    </row>
    <row r="10" spans="1:10" ht="19.5" customHeight="1" hidden="1">
      <c r="A10" s="341" t="s">
        <v>113</v>
      </c>
      <c r="B10" s="341"/>
      <c r="C10" s="342">
        <v>112</v>
      </c>
      <c r="D10" s="342"/>
      <c r="E10" s="34"/>
      <c r="F10" s="344"/>
      <c r="G10" s="87"/>
      <c r="H10" s="87"/>
      <c r="I10" s="87"/>
      <c r="J10" s="7"/>
    </row>
    <row r="11" spans="1:10" ht="19.5" customHeight="1">
      <c r="A11" s="345" t="s">
        <v>190</v>
      </c>
      <c r="B11" s="337"/>
      <c r="C11" s="346">
        <v>120</v>
      </c>
      <c r="D11" s="334"/>
      <c r="E11" s="347"/>
      <c r="F11" s="342"/>
      <c r="G11" s="348"/>
      <c r="H11" s="349"/>
      <c r="I11" s="348"/>
      <c r="J11" s="17"/>
    </row>
    <row r="12" spans="1:10" ht="17.25" hidden="1">
      <c r="A12" s="341" t="s">
        <v>197</v>
      </c>
      <c r="B12" s="341"/>
      <c r="C12" s="342">
        <v>121</v>
      </c>
      <c r="D12" s="342"/>
      <c r="E12" s="34"/>
      <c r="F12" s="344"/>
      <c r="G12" s="87"/>
      <c r="H12" s="87"/>
      <c r="I12" s="87"/>
      <c r="J12" s="7"/>
    </row>
    <row r="13" spans="1:10" ht="17.25" hidden="1">
      <c r="A13" s="341" t="s">
        <v>234</v>
      </c>
      <c r="B13" s="341"/>
      <c r="C13" s="342">
        <v>129</v>
      </c>
      <c r="D13" s="342"/>
      <c r="E13" s="350"/>
      <c r="F13" s="342"/>
      <c r="G13" s="87"/>
      <c r="H13" s="87"/>
      <c r="I13" s="87"/>
      <c r="J13" s="7"/>
    </row>
    <row r="14" spans="1:10" ht="18.75">
      <c r="A14" s="345" t="s">
        <v>191</v>
      </c>
      <c r="B14" s="337"/>
      <c r="C14" s="346">
        <v>130</v>
      </c>
      <c r="D14" s="334"/>
      <c r="E14" s="351"/>
      <c r="F14" s="344"/>
      <c r="G14" s="352">
        <f>SUM(G15:G21)</f>
        <v>64352443703</v>
      </c>
      <c r="H14" s="166"/>
      <c r="I14" s="352">
        <f>SUM(I15:I21)</f>
        <v>38857890776</v>
      </c>
      <c r="J14" s="8"/>
    </row>
    <row r="15" spans="1:12" ht="19.5" customHeight="1">
      <c r="A15" s="341" t="s">
        <v>114</v>
      </c>
      <c r="B15" s="341"/>
      <c r="C15" s="342">
        <v>131</v>
      </c>
      <c r="D15" s="342"/>
      <c r="E15" s="343"/>
      <c r="F15" s="344"/>
      <c r="G15" s="87">
        <f>14882178466+13982310832</f>
        <v>28864489298</v>
      </c>
      <c r="H15" s="87"/>
      <c r="I15" s="87">
        <v>35188203198</v>
      </c>
      <c r="J15" s="7"/>
      <c r="K15" s="751"/>
      <c r="L15" s="752"/>
    </row>
    <row r="16" spans="1:10" ht="19.5" customHeight="1">
      <c r="A16" s="341" t="s">
        <v>115</v>
      </c>
      <c r="B16" s="341"/>
      <c r="C16" s="342">
        <v>132</v>
      </c>
      <c r="D16" s="342"/>
      <c r="E16" s="343"/>
      <c r="F16" s="342"/>
      <c r="G16" s="87">
        <f>49000005+35361063788</f>
        <v>35410063793</v>
      </c>
      <c r="H16" s="87"/>
      <c r="I16" s="87">
        <f>3974235350+46164039</f>
        <v>4020399389</v>
      </c>
      <c r="J16" s="7"/>
    </row>
    <row r="17" spans="1:9" ht="17.25" hidden="1">
      <c r="A17" s="341" t="s">
        <v>235</v>
      </c>
      <c r="B17" s="341"/>
      <c r="C17" s="342">
        <v>133</v>
      </c>
      <c r="D17" s="342"/>
      <c r="E17" s="34"/>
      <c r="F17" s="344"/>
      <c r="G17" s="325"/>
      <c r="H17" s="325"/>
      <c r="I17" s="325"/>
    </row>
    <row r="18" spans="1:10" ht="17.25" hidden="1">
      <c r="A18" s="341" t="s">
        <v>236</v>
      </c>
      <c r="B18" s="341"/>
      <c r="C18" s="342">
        <v>134</v>
      </c>
      <c r="D18" s="342"/>
      <c r="E18" s="34"/>
      <c r="F18" s="342"/>
      <c r="G18" s="87"/>
      <c r="H18" s="87"/>
      <c r="I18" s="87"/>
      <c r="J18" s="7"/>
    </row>
    <row r="19" spans="1:10" ht="17.25" hidden="1">
      <c r="A19" s="341" t="s">
        <v>358</v>
      </c>
      <c r="B19" s="341"/>
      <c r="C19" s="342">
        <v>133</v>
      </c>
      <c r="D19" s="342"/>
      <c r="E19" s="34"/>
      <c r="F19" s="342"/>
      <c r="G19" s="87"/>
      <c r="H19" s="87"/>
      <c r="I19" s="87"/>
      <c r="J19" s="7"/>
    </row>
    <row r="20" spans="1:11" ht="19.5" customHeight="1">
      <c r="A20" s="341" t="s">
        <v>116</v>
      </c>
      <c r="B20" s="341"/>
      <c r="C20" s="342">
        <v>135</v>
      </c>
      <c r="D20" s="342"/>
      <c r="E20" s="343" t="s">
        <v>259</v>
      </c>
      <c r="F20" s="344"/>
      <c r="G20" s="87">
        <f>215903290+1361987322</f>
        <v>1577890612</v>
      </c>
      <c r="H20" s="87"/>
      <c r="I20" s="87">
        <v>649288189</v>
      </c>
      <c r="J20" s="7"/>
      <c r="K20" s="18"/>
    </row>
    <row r="21" spans="1:10" ht="17.25">
      <c r="A21" s="341" t="s">
        <v>237</v>
      </c>
      <c r="B21" s="341"/>
      <c r="C21" s="342">
        <v>138</v>
      </c>
      <c r="D21" s="342"/>
      <c r="E21" s="34"/>
      <c r="F21" s="340"/>
      <c r="G21" s="87">
        <v>-1500000000</v>
      </c>
      <c r="H21" s="87"/>
      <c r="I21" s="87">
        <v>-1000000000</v>
      </c>
      <c r="J21" s="7"/>
    </row>
    <row r="22" spans="1:10" ht="18.75">
      <c r="A22" s="345" t="s">
        <v>192</v>
      </c>
      <c r="B22" s="337"/>
      <c r="C22" s="346">
        <v>140</v>
      </c>
      <c r="D22" s="334"/>
      <c r="E22" s="351"/>
      <c r="F22" s="340"/>
      <c r="G22" s="352">
        <f>G23+G24</f>
        <v>20402435227</v>
      </c>
      <c r="H22" s="166"/>
      <c r="I22" s="352">
        <f>I23+I24</f>
        <v>21020119602</v>
      </c>
      <c r="J22" s="8"/>
    </row>
    <row r="23" spans="1:12" ht="17.25">
      <c r="A23" s="341" t="s">
        <v>117</v>
      </c>
      <c r="B23" s="341"/>
      <c r="C23" s="342">
        <v>141</v>
      </c>
      <c r="D23" s="342"/>
      <c r="E23" s="343" t="s">
        <v>21</v>
      </c>
      <c r="F23" s="344"/>
      <c r="G23" s="87">
        <f>9915494221+10388941006+98000000</f>
        <v>20402435227</v>
      </c>
      <c r="H23" s="87"/>
      <c r="I23" s="87">
        <f>6129172402+14890947200</f>
        <v>21020119602</v>
      </c>
      <c r="J23" s="7"/>
      <c r="L23" s="18"/>
    </row>
    <row r="24" spans="1:11" ht="18.75" hidden="1">
      <c r="A24" s="341" t="s">
        <v>238</v>
      </c>
      <c r="B24" s="341"/>
      <c r="C24" s="342">
        <v>149</v>
      </c>
      <c r="D24" s="342"/>
      <c r="E24" s="353"/>
      <c r="F24" s="334"/>
      <c r="G24" s="87"/>
      <c r="H24" s="349"/>
      <c r="I24" s="87"/>
      <c r="J24" s="17"/>
      <c r="K24" s="18"/>
    </row>
    <row r="25" spans="1:10" ht="18.75">
      <c r="A25" s="345" t="s">
        <v>225</v>
      </c>
      <c r="B25" s="337"/>
      <c r="C25" s="346">
        <v>150</v>
      </c>
      <c r="D25" s="334"/>
      <c r="E25" s="351"/>
      <c r="F25" s="340"/>
      <c r="G25" s="352">
        <f>SUM(G26:G30)</f>
        <v>4193949986</v>
      </c>
      <c r="H25" s="166"/>
      <c r="I25" s="352">
        <f>SUM(I26:I30)</f>
        <v>2457139276</v>
      </c>
      <c r="J25" s="8"/>
    </row>
    <row r="26" spans="1:10" ht="17.25">
      <c r="A26" s="341" t="s">
        <v>118</v>
      </c>
      <c r="B26" s="341"/>
      <c r="C26" s="342">
        <v>151</v>
      </c>
      <c r="D26" s="342"/>
      <c r="E26" s="34"/>
      <c r="F26" s="334"/>
      <c r="G26" s="87">
        <f>146819745+756166870</f>
        <v>902986615</v>
      </c>
      <c r="H26" s="87"/>
      <c r="I26" s="87">
        <f>842157596+174016056</f>
        <v>1016173652</v>
      </c>
      <c r="J26" s="7"/>
    </row>
    <row r="27" spans="1:10" ht="17.25">
      <c r="A27" s="341" t="s">
        <v>261</v>
      </c>
      <c r="B27" s="341"/>
      <c r="C27" s="342">
        <v>152</v>
      </c>
      <c r="D27" s="342"/>
      <c r="E27" s="343"/>
      <c r="F27" s="334"/>
      <c r="G27" s="87">
        <v>1727903878</v>
      </c>
      <c r="H27" s="87"/>
      <c r="I27" s="87">
        <v>1024157892</v>
      </c>
      <c r="J27" s="7"/>
    </row>
    <row r="28" spans="1:10" ht="17.25">
      <c r="A28" s="341" t="s">
        <v>260</v>
      </c>
      <c r="B28" s="341"/>
      <c r="C28" s="354" t="s">
        <v>263</v>
      </c>
      <c r="D28" s="342"/>
      <c r="E28" s="34" t="s">
        <v>335</v>
      </c>
      <c r="F28" s="344"/>
      <c r="G28" s="87">
        <f>556692658+16924558</f>
        <v>573617216</v>
      </c>
      <c r="H28" s="87"/>
      <c r="I28" s="87">
        <v>136021716</v>
      </c>
      <c r="J28" s="7"/>
    </row>
    <row r="29" spans="1:10" ht="17.25" hidden="1">
      <c r="A29" s="341" t="s">
        <v>262</v>
      </c>
      <c r="B29" s="341"/>
      <c r="C29" s="342">
        <v>158</v>
      </c>
      <c r="D29" s="342"/>
      <c r="E29" s="343"/>
      <c r="F29" s="334"/>
      <c r="G29" s="87"/>
      <c r="H29" s="87"/>
      <c r="I29" s="87"/>
      <c r="J29" s="7"/>
    </row>
    <row r="30" spans="1:11" ht="17.25">
      <c r="A30" s="341" t="s">
        <v>369</v>
      </c>
      <c r="B30" s="341"/>
      <c r="C30" s="342">
        <v>158</v>
      </c>
      <c r="D30" s="342"/>
      <c r="E30" s="343"/>
      <c r="F30" s="334"/>
      <c r="G30" s="87">
        <f>30720000+958722277</f>
        <v>989442277</v>
      </c>
      <c r="H30" s="87"/>
      <c r="I30" s="87">
        <f>243437216+37348800</f>
        <v>280786016</v>
      </c>
      <c r="J30" s="7"/>
      <c r="K30" s="18"/>
    </row>
    <row r="31" spans="1:10" ht="21.75" customHeight="1">
      <c r="A31" s="355" t="s">
        <v>226</v>
      </c>
      <c r="B31" s="333"/>
      <c r="C31" s="356">
        <v>200</v>
      </c>
      <c r="D31" s="334"/>
      <c r="E31" s="357"/>
      <c r="F31" s="334"/>
      <c r="G31" s="169">
        <f>G38+G52+G57</f>
        <v>152984671485</v>
      </c>
      <c r="H31" s="166"/>
      <c r="I31" s="169">
        <f>I38+I52+I37+I57</f>
        <v>77705126683</v>
      </c>
      <c r="J31" s="8"/>
    </row>
    <row r="32" spans="1:10" ht="21.75" customHeight="1">
      <c r="A32" s="358" t="s">
        <v>227</v>
      </c>
      <c r="B32" s="337"/>
      <c r="C32" s="359">
        <v>210</v>
      </c>
      <c r="D32" s="334"/>
      <c r="E32" s="342"/>
      <c r="F32" s="287"/>
      <c r="G32" s="360">
        <f>G37</f>
        <v>0</v>
      </c>
      <c r="H32" s="166"/>
      <c r="I32" s="360">
        <f>I37</f>
        <v>0</v>
      </c>
      <c r="J32" s="8"/>
    </row>
    <row r="33" spans="1:10" ht="21.75" customHeight="1" hidden="1">
      <c r="A33" s="341" t="s">
        <v>239</v>
      </c>
      <c r="B33" s="341"/>
      <c r="C33" s="342">
        <v>211</v>
      </c>
      <c r="D33" s="342"/>
      <c r="E33" s="344"/>
      <c r="F33" s="287"/>
      <c r="G33" s="166"/>
      <c r="H33" s="166"/>
      <c r="I33" s="166"/>
      <c r="J33" s="8"/>
    </row>
    <row r="34" spans="1:10" ht="21.75" customHeight="1" hidden="1">
      <c r="A34" s="341" t="s">
        <v>240</v>
      </c>
      <c r="B34" s="341"/>
      <c r="C34" s="342">
        <v>212</v>
      </c>
      <c r="D34" s="342"/>
      <c r="E34" s="342"/>
      <c r="F34" s="287"/>
      <c r="G34" s="166"/>
      <c r="H34" s="166"/>
      <c r="I34" s="166"/>
      <c r="J34" s="8"/>
    </row>
    <row r="35" spans="1:10" ht="21.75" customHeight="1" hidden="1">
      <c r="A35" s="341" t="s">
        <v>242</v>
      </c>
      <c r="B35" s="341"/>
      <c r="C35" s="342">
        <v>213</v>
      </c>
      <c r="D35" s="342"/>
      <c r="E35" s="342"/>
      <c r="F35" s="287"/>
      <c r="G35" s="166"/>
      <c r="H35" s="166"/>
      <c r="I35" s="166"/>
      <c r="J35" s="8"/>
    </row>
    <row r="36" spans="1:10" ht="21.75" customHeight="1" hidden="1">
      <c r="A36" s="341" t="s">
        <v>241</v>
      </c>
      <c r="B36" s="341"/>
      <c r="C36" s="342">
        <v>219</v>
      </c>
      <c r="D36" s="342"/>
      <c r="E36" s="342"/>
      <c r="F36" s="287"/>
      <c r="G36" s="166"/>
      <c r="H36" s="166"/>
      <c r="I36" s="166"/>
      <c r="J36" s="8"/>
    </row>
    <row r="37" spans="1:10" ht="21.75" customHeight="1">
      <c r="A37" s="341" t="s">
        <v>354</v>
      </c>
      <c r="B37" s="341"/>
      <c r="C37" s="342">
        <v>211</v>
      </c>
      <c r="D37" s="342"/>
      <c r="E37" s="342"/>
      <c r="F37" s="287"/>
      <c r="G37" s="166"/>
      <c r="H37" s="166"/>
      <c r="I37" s="87"/>
      <c r="J37" s="8"/>
    </row>
    <row r="38" spans="1:10" ht="21.75" customHeight="1">
      <c r="A38" s="345" t="s">
        <v>228</v>
      </c>
      <c r="B38" s="337"/>
      <c r="C38" s="346">
        <v>220</v>
      </c>
      <c r="D38" s="334"/>
      <c r="E38" s="351"/>
      <c r="F38" s="287"/>
      <c r="G38" s="352">
        <f>G39+G48</f>
        <v>151484803527</v>
      </c>
      <c r="H38" s="166"/>
      <c r="I38" s="352">
        <f>I39+I48</f>
        <v>75978275024</v>
      </c>
      <c r="J38" s="8"/>
    </row>
    <row r="39" spans="1:10" ht="19.5" customHeight="1">
      <c r="A39" s="361" t="s">
        <v>119</v>
      </c>
      <c r="B39" s="341"/>
      <c r="C39" s="362">
        <v>221</v>
      </c>
      <c r="D39" s="342"/>
      <c r="E39" s="363" t="s">
        <v>264</v>
      </c>
      <c r="F39" s="89"/>
      <c r="G39" s="165">
        <f>SUM(G40:G41)</f>
        <v>31760476792</v>
      </c>
      <c r="H39" s="87">
        <f>SUM(H40:H41)</f>
        <v>0</v>
      </c>
      <c r="I39" s="165">
        <f>SUM(I40:I41)</f>
        <v>32842200973</v>
      </c>
      <c r="J39" s="7"/>
    </row>
    <row r="40" spans="1:10" ht="17.25">
      <c r="A40" s="364" t="s">
        <v>181</v>
      </c>
      <c r="B40" s="364"/>
      <c r="C40" s="342">
        <v>222</v>
      </c>
      <c r="D40" s="342"/>
      <c r="E40" s="34"/>
      <c r="F40" s="89"/>
      <c r="G40" s="87">
        <f>14301867854+29342689392</f>
        <v>43644557246</v>
      </c>
      <c r="H40" s="87"/>
      <c r="I40" s="87">
        <f>14468158507+28365513078</f>
        <v>42833671585</v>
      </c>
      <c r="J40" s="7"/>
    </row>
    <row r="41" spans="1:10" ht="17.25">
      <c r="A41" s="365" t="s">
        <v>182</v>
      </c>
      <c r="B41" s="365"/>
      <c r="C41" s="362">
        <v>223</v>
      </c>
      <c r="D41" s="362"/>
      <c r="E41" s="366"/>
      <c r="F41" s="176"/>
      <c r="G41" s="165">
        <f>-2912952255-8971128199</f>
        <v>-11884080454</v>
      </c>
      <c r="H41" s="87"/>
      <c r="I41" s="165">
        <f>-8613706149-1377764463</f>
        <v>-9991470612</v>
      </c>
      <c r="J41" s="7"/>
    </row>
    <row r="42" spans="1:10" ht="17.25" hidden="1">
      <c r="A42" s="367" t="s">
        <v>120</v>
      </c>
      <c r="B42" s="337"/>
      <c r="C42" s="334">
        <v>224</v>
      </c>
      <c r="D42" s="334"/>
      <c r="E42" s="34"/>
      <c r="F42" s="89"/>
      <c r="G42" s="87"/>
      <c r="H42" s="87"/>
      <c r="I42" s="87"/>
      <c r="J42" s="7"/>
    </row>
    <row r="43" spans="1:10" ht="17.25" hidden="1">
      <c r="A43" s="364" t="s">
        <v>181</v>
      </c>
      <c r="B43" s="364"/>
      <c r="C43" s="342">
        <v>225</v>
      </c>
      <c r="D43" s="342"/>
      <c r="E43" s="34"/>
      <c r="F43" s="89"/>
      <c r="G43" s="87"/>
      <c r="H43" s="87"/>
      <c r="I43" s="87"/>
      <c r="J43" s="7"/>
    </row>
    <row r="44" spans="1:10" ht="17.25" hidden="1">
      <c r="A44" s="364" t="s">
        <v>182</v>
      </c>
      <c r="B44" s="364"/>
      <c r="C44" s="342">
        <v>226</v>
      </c>
      <c r="D44" s="342"/>
      <c r="E44" s="34"/>
      <c r="F44" s="89"/>
      <c r="G44" s="87"/>
      <c r="H44" s="87"/>
      <c r="I44" s="87"/>
      <c r="J44" s="7"/>
    </row>
    <row r="45" spans="1:10" ht="17.25" hidden="1">
      <c r="A45" s="367" t="s">
        <v>121</v>
      </c>
      <c r="B45" s="337"/>
      <c r="C45" s="334">
        <v>227</v>
      </c>
      <c r="D45" s="334"/>
      <c r="E45" s="353"/>
      <c r="F45" s="174"/>
      <c r="G45" s="164"/>
      <c r="H45" s="164"/>
      <c r="I45" s="164"/>
      <c r="J45" s="19"/>
    </row>
    <row r="46" spans="1:10" ht="16.5" customHeight="1" hidden="1">
      <c r="A46" s="364" t="s">
        <v>181</v>
      </c>
      <c r="B46" s="364"/>
      <c r="C46" s="342">
        <v>228</v>
      </c>
      <c r="D46" s="342"/>
      <c r="E46" s="34"/>
      <c r="F46" s="89"/>
      <c r="G46" s="87"/>
      <c r="H46" s="87"/>
      <c r="I46" s="87"/>
      <c r="J46" s="7"/>
    </row>
    <row r="47" spans="1:10" ht="16.5" customHeight="1" hidden="1">
      <c r="A47" s="364" t="s">
        <v>182</v>
      </c>
      <c r="B47" s="364"/>
      <c r="C47" s="342">
        <v>229</v>
      </c>
      <c r="D47" s="342"/>
      <c r="E47" s="34"/>
      <c r="F47" s="89"/>
      <c r="G47" s="87"/>
      <c r="H47" s="87"/>
      <c r="I47" s="87"/>
      <c r="J47" s="7"/>
    </row>
    <row r="48" spans="1:10" ht="18.75" customHeight="1">
      <c r="A48" s="367" t="s">
        <v>123</v>
      </c>
      <c r="B48" s="337"/>
      <c r="C48" s="334">
        <v>230</v>
      </c>
      <c r="D48" s="334"/>
      <c r="E48" s="343" t="s">
        <v>265</v>
      </c>
      <c r="F48" s="89"/>
      <c r="G48" s="87">
        <f>190074577+119534252158</f>
        <v>119724326735</v>
      </c>
      <c r="H48" s="87"/>
      <c r="I48" s="87">
        <f>43049334518+86739533</f>
        <v>43136074051</v>
      </c>
      <c r="J48" s="7"/>
    </row>
    <row r="49" spans="1:10" ht="19.5" customHeight="1" hidden="1">
      <c r="A49" s="345" t="s">
        <v>229</v>
      </c>
      <c r="B49" s="337"/>
      <c r="C49" s="346">
        <v>240</v>
      </c>
      <c r="D49" s="334"/>
      <c r="E49" s="351"/>
      <c r="F49" s="89"/>
      <c r="G49" s="368"/>
      <c r="H49" s="87"/>
      <c r="I49" s="368"/>
      <c r="J49" s="7"/>
    </row>
    <row r="50" spans="1:10" ht="16.5" customHeight="1" hidden="1">
      <c r="A50" s="364" t="s">
        <v>181</v>
      </c>
      <c r="B50" s="364"/>
      <c r="C50" s="342">
        <v>241</v>
      </c>
      <c r="D50" s="342"/>
      <c r="E50" s="34"/>
      <c r="F50" s="89"/>
      <c r="G50" s="87"/>
      <c r="H50" s="87"/>
      <c r="I50" s="87"/>
      <c r="J50" s="7"/>
    </row>
    <row r="51" spans="1:10" ht="16.5" customHeight="1" hidden="1">
      <c r="A51" s="364" t="s">
        <v>182</v>
      </c>
      <c r="B51" s="364"/>
      <c r="C51" s="342">
        <v>242</v>
      </c>
      <c r="D51" s="342"/>
      <c r="E51" s="34"/>
      <c r="F51" s="89"/>
      <c r="G51" s="87"/>
      <c r="H51" s="87"/>
      <c r="I51" s="87"/>
      <c r="J51" s="7"/>
    </row>
    <row r="52" spans="1:10" ht="21.75" customHeight="1">
      <c r="A52" s="345" t="s">
        <v>230</v>
      </c>
      <c r="B52" s="337"/>
      <c r="C52" s="346">
        <v>250</v>
      </c>
      <c r="D52" s="334"/>
      <c r="E52" s="369"/>
      <c r="F52" s="287"/>
      <c r="G52" s="370">
        <f>SUM(G53:G56)</f>
        <v>0</v>
      </c>
      <c r="H52" s="371"/>
      <c r="I52" s="370">
        <f>SUM(I53:I56)</f>
        <v>67680000</v>
      </c>
      <c r="J52" s="20"/>
    </row>
    <row r="53" spans="1:10" ht="21.75" customHeight="1" hidden="1">
      <c r="A53" s="341" t="s">
        <v>243</v>
      </c>
      <c r="B53" s="341"/>
      <c r="C53" s="342">
        <v>251</v>
      </c>
      <c r="D53" s="342"/>
      <c r="E53" s="353"/>
      <c r="F53" s="372"/>
      <c r="G53" s="373"/>
      <c r="H53" s="373"/>
      <c r="I53" s="373"/>
      <c r="J53" s="21"/>
    </row>
    <row r="54" spans="1:9" ht="21.75" customHeight="1">
      <c r="A54" s="341" t="s">
        <v>124</v>
      </c>
      <c r="B54" s="341"/>
      <c r="C54" s="342">
        <v>252</v>
      </c>
      <c r="D54" s="342"/>
      <c r="E54" s="34"/>
      <c r="F54" s="89"/>
      <c r="G54" s="325">
        <v>0</v>
      </c>
      <c r="H54" s="325"/>
      <c r="I54" s="325"/>
    </row>
    <row r="55" spans="1:10" ht="17.25">
      <c r="A55" s="341" t="s">
        <v>125</v>
      </c>
      <c r="B55" s="365"/>
      <c r="C55" s="362">
        <v>258</v>
      </c>
      <c r="D55" s="362"/>
      <c r="E55" s="366" t="s">
        <v>266</v>
      </c>
      <c r="F55" s="176"/>
      <c r="G55" s="165">
        <v>0</v>
      </c>
      <c r="H55" s="87"/>
      <c r="I55" s="165">
        <v>67680000</v>
      </c>
      <c r="J55" s="7"/>
    </row>
    <row r="56" spans="1:10" ht="21.75" customHeight="1" hidden="1">
      <c r="A56" s="341" t="s">
        <v>244</v>
      </c>
      <c r="B56" s="341"/>
      <c r="C56" s="342">
        <v>259</v>
      </c>
      <c r="D56" s="342"/>
      <c r="E56" s="342"/>
      <c r="F56" s="372"/>
      <c r="G56" s="373"/>
      <c r="H56" s="373"/>
      <c r="I56" s="373"/>
      <c r="J56" s="21"/>
    </row>
    <row r="57" spans="1:10" ht="21.75" customHeight="1">
      <c r="A57" s="374" t="s">
        <v>231</v>
      </c>
      <c r="B57" s="337"/>
      <c r="C57" s="448">
        <v>260</v>
      </c>
      <c r="D57" s="334"/>
      <c r="E57" s="375"/>
      <c r="F57" s="287"/>
      <c r="G57" s="376">
        <f>G61</f>
        <v>1499867958</v>
      </c>
      <c r="H57" s="166"/>
      <c r="I57" s="376">
        <f>I61</f>
        <v>1659171659</v>
      </c>
      <c r="J57" s="8"/>
    </row>
    <row r="58" spans="1:10" ht="19.5" customHeight="1" hidden="1">
      <c r="A58" s="341" t="s">
        <v>232</v>
      </c>
      <c r="B58" s="341"/>
      <c r="C58" s="342">
        <v>261</v>
      </c>
      <c r="D58" s="342"/>
      <c r="E58" s="34"/>
      <c r="F58" s="287"/>
      <c r="G58" s="166"/>
      <c r="H58" s="166"/>
      <c r="I58" s="166"/>
      <c r="J58" s="8"/>
    </row>
    <row r="59" spans="1:10" ht="19.5" customHeight="1" hidden="1">
      <c r="A59" s="341" t="s">
        <v>245</v>
      </c>
      <c r="B59" s="341"/>
      <c r="C59" s="342">
        <v>262</v>
      </c>
      <c r="D59" s="342"/>
      <c r="E59" s="34"/>
      <c r="F59" s="287"/>
      <c r="G59" s="166"/>
      <c r="H59" s="166"/>
      <c r="I59" s="166"/>
      <c r="J59" s="8"/>
    </row>
    <row r="60" spans="1:10" ht="19.5" customHeight="1" hidden="1">
      <c r="A60" s="341" t="s">
        <v>246</v>
      </c>
      <c r="B60" s="341"/>
      <c r="C60" s="342">
        <v>268</v>
      </c>
      <c r="D60" s="342"/>
      <c r="E60" s="34"/>
      <c r="F60" s="287"/>
      <c r="G60" s="166"/>
      <c r="H60" s="166"/>
      <c r="I60" s="166"/>
      <c r="J60" s="8"/>
    </row>
    <row r="61" spans="1:10" ht="19.5" customHeight="1">
      <c r="A61" s="449" t="s">
        <v>355</v>
      </c>
      <c r="B61" s="341"/>
      <c r="C61" s="362">
        <v>261</v>
      </c>
      <c r="D61" s="342"/>
      <c r="E61" s="450" t="s">
        <v>356</v>
      </c>
      <c r="F61" s="287"/>
      <c r="G61" s="449">
        <f>1453520379+46347579</f>
        <v>1499867958</v>
      </c>
      <c r="H61" s="166"/>
      <c r="I61" s="449">
        <v>1659171659</v>
      </c>
      <c r="J61" s="8"/>
    </row>
    <row r="62" spans="1:10" ht="4.5" customHeight="1">
      <c r="A62" s="377"/>
      <c r="B62" s="377"/>
      <c r="C62" s="378"/>
      <c r="D62" s="378"/>
      <c r="E62" s="379"/>
      <c r="F62" s="280"/>
      <c r="G62" s="80"/>
      <c r="H62" s="80"/>
      <c r="I62" s="80"/>
      <c r="J62" s="8"/>
    </row>
    <row r="63" spans="1:10" ht="21.75" customHeight="1" thickBot="1">
      <c r="A63" s="380" t="s">
        <v>177</v>
      </c>
      <c r="B63" s="380"/>
      <c r="C63" s="381">
        <v>270</v>
      </c>
      <c r="D63" s="381"/>
      <c r="E63" s="382"/>
      <c r="F63" s="383"/>
      <c r="G63" s="384">
        <f>G31+G7</f>
        <v>245378549183</v>
      </c>
      <c r="H63" s="384"/>
      <c r="I63" s="384">
        <f>I31+I7</f>
        <v>144059511693</v>
      </c>
      <c r="J63" s="22"/>
    </row>
    <row r="64" spans="1:10" ht="64.5" customHeight="1" thickBot="1" thickTop="1">
      <c r="A64" s="385"/>
      <c r="B64" s="385"/>
      <c r="C64" s="386"/>
      <c r="D64" s="386"/>
      <c r="E64" s="387"/>
      <c r="F64" s="388"/>
      <c r="G64" s="389"/>
      <c r="H64" s="389"/>
      <c r="I64" s="389"/>
      <c r="J64" s="22"/>
    </row>
    <row r="65" spans="1:10" ht="33.75" customHeight="1" thickBot="1">
      <c r="A65" s="443" t="s">
        <v>178</v>
      </c>
      <c r="B65" s="443"/>
      <c r="C65" s="444" t="s">
        <v>194</v>
      </c>
      <c r="D65" s="444"/>
      <c r="E65" s="445" t="s">
        <v>208</v>
      </c>
      <c r="F65" s="445"/>
      <c r="G65" s="678" t="s">
        <v>544</v>
      </c>
      <c r="H65" s="447"/>
      <c r="I65" s="446" t="s">
        <v>20</v>
      </c>
      <c r="J65" s="16"/>
    </row>
    <row r="66" spans="1:11" ht="24.75" customHeight="1">
      <c r="A66" s="377" t="s">
        <v>179</v>
      </c>
      <c r="B66" s="333"/>
      <c r="C66" s="378">
        <v>300</v>
      </c>
      <c r="D66" s="334"/>
      <c r="E66" s="390"/>
      <c r="F66" s="334"/>
      <c r="G66" s="80">
        <f>G67+G77</f>
        <v>87968609932</v>
      </c>
      <c r="H66" s="166"/>
      <c r="I66" s="80">
        <f>I67+I77</f>
        <v>31628988657</v>
      </c>
      <c r="J66" s="8"/>
      <c r="K66" s="18"/>
    </row>
    <row r="67" spans="1:11" ht="23.25" customHeight="1">
      <c r="A67" s="358" t="s">
        <v>186</v>
      </c>
      <c r="B67" s="337"/>
      <c r="C67" s="359">
        <v>310</v>
      </c>
      <c r="D67" s="334"/>
      <c r="E67" s="391"/>
      <c r="F67" s="334"/>
      <c r="G67" s="360">
        <f>SUM(G68:G76)</f>
        <v>40749513832</v>
      </c>
      <c r="H67" s="166"/>
      <c r="I67" s="360">
        <f>SUM(I68:I76)</f>
        <v>22835624878</v>
      </c>
      <c r="J67" s="8"/>
      <c r="K67" s="18"/>
    </row>
    <row r="68" spans="1:10" ht="19.5" customHeight="1">
      <c r="A68" s="341" t="s">
        <v>126</v>
      </c>
      <c r="B68" s="341"/>
      <c r="C68" s="342">
        <v>311</v>
      </c>
      <c r="D68" s="342"/>
      <c r="E68" s="343" t="s">
        <v>267</v>
      </c>
      <c r="F68" s="342"/>
      <c r="G68" s="217">
        <v>29149930668</v>
      </c>
      <c r="H68" s="87"/>
      <c r="I68" s="217">
        <f>6183699200+10599000+3934766400</f>
        <v>10129064600</v>
      </c>
      <c r="J68" s="7"/>
    </row>
    <row r="69" spans="1:12" ht="18.75" customHeight="1">
      <c r="A69" s="341" t="s">
        <v>127</v>
      </c>
      <c r="B69" s="341"/>
      <c r="C69" s="342">
        <v>312</v>
      </c>
      <c r="D69" s="342"/>
      <c r="E69" s="343"/>
      <c r="F69" s="342"/>
      <c r="G69" s="749">
        <f>919473020+2733367257</f>
        <v>3652840277</v>
      </c>
      <c r="H69" s="749"/>
      <c r="I69" s="749">
        <v>11533830742</v>
      </c>
      <c r="J69" s="750"/>
      <c r="K69" s="751"/>
      <c r="L69" s="752"/>
    </row>
    <row r="70" spans="1:12" ht="18.75" customHeight="1">
      <c r="A70" s="341" t="s">
        <v>128</v>
      </c>
      <c r="B70" s="341"/>
      <c r="C70" s="342">
        <v>313</v>
      </c>
      <c r="D70" s="342"/>
      <c r="E70" s="343"/>
      <c r="F70" s="342"/>
      <c r="G70" s="749">
        <f>530880+6996874346</f>
        <v>6997405226</v>
      </c>
      <c r="H70" s="749"/>
      <c r="I70" s="749">
        <v>5000000</v>
      </c>
      <c r="J70" s="750"/>
      <c r="K70" s="753"/>
      <c r="L70" s="753"/>
    </row>
    <row r="71" spans="1:14" ht="18.75" customHeight="1">
      <c r="A71" s="341" t="s">
        <v>129</v>
      </c>
      <c r="B71" s="341"/>
      <c r="C71" s="342">
        <v>314</v>
      </c>
      <c r="D71" s="342"/>
      <c r="E71" s="343" t="s">
        <v>268</v>
      </c>
      <c r="F71" s="342"/>
      <c r="G71" s="87">
        <v>0</v>
      </c>
      <c r="H71" s="87"/>
      <c r="I71" s="87">
        <v>145658137</v>
      </c>
      <c r="J71" s="7"/>
      <c r="K71" s="18"/>
      <c r="L71" s="18"/>
      <c r="M71" s="18"/>
      <c r="N71" s="18"/>
    </row>
    <row r="72" spans="1:14" ht="18.75" customHeight="1">
      <c r="A72" s="341" t="s">
        <v>22</v>
      </c>
      <c r="B72" s="341"/>
      <c r="C72" s="342">
        <v>315</v>
      </c>
      <c r="D72" s="342"/>
      <c r="E72" s="34"/>
      <c r="F72" s="342"/>
      <c r="G72" s="87">
        <f>447596352+329342128</f>
        <v>776938480</v>
      </c>
      <c r="H72" s="87"/>
      <c r="I72" s="87">
        <f>228040631+298543817</f>
        <v>526584448</v>
      </c>
      <c r="J72" s="7"/>
      <c r="N72" s="18"/>
    </row>
    <row r="73" spans="1:10" ht="12.75" customHeight="1" hidden="1">
      <c r="A73" s="341" t="s">
        <v>130</v>
      </c>
      <c r="B73" s="341"/>
      <c r="C73" s="342">
        <v>316</v>
      </c>
      <c r="D73" s="342"/>
      <c r="E73" s="343" t="s">
        <v>269</v>
      </c>
      <c r="F73" s="342"/>
      <c r="G73" s="36"/>
      <c r="H73" s="87"/>
      <c r="I73" s="36"/>
      <c r="J73" s="7"/>
    </row>
    <row r="74" spans="1:10" ht="13.5" customHeight="1" hidden="1">
      <c r="A74" s="341" t="s">
        <v>94</v>
      </c>
      <c r="B74" s="341"/>
      <c r="C74" s="342">
        <v>317</v>
      </c>
      <c r="D74" s="342"/>
      <c r="E74" s="34"/>
      <c r="F74" s="342"/>
      <c r="G74" s="87"/>
      <c r="H74" s="87"/>
      <c r="I74" s="87"/>
      <c r="J74" s="7"/>
    </row>
    <row r="75" spans="1:10" ht="18" customHeight="1" hidden="1">
      <c r="A75" s="341" t="s">
        <v>95</v>
      </c>
      <c r="B75" s="341"/>
      <c r="C75" s="342">
        <v>318</v>
      </c>
      <c r="D75" s="342"/>
      <c r="E75" s="34"/>
      <c r="F75" s="342"/>
      <c r="G75" s="87"/>
      <c r="H75" s="87"/>
      <c r="I75" s="87"/>
      <c r="J75" s="7"/>
    </row>
    <row r="76" spans="1:10" ht="18.75" customHeight="1">
      <c r="A76" s="341" t="s">
        <v>131</v>
      </c>
      <c r="B76" s="341"/>
      <c r="C76" s="342">
        <v>319</v>
      </c>
      <c r="D76" s="342"/>
      <c r="E76" s="343" t="s">
        <v>270</v>
      </c>
      <c r="F76" s="342"/>
      <c r="G76" s="87">
        <f>78422855+93976326</f>
        <v>172399181</v>
      </c>
      <c r="H76" s="87"/>
      <c r="I76" s="87">
        <f>433236800+62250151</f>
        <v>495486951</v>
      </c>
      <c r="J76" s="7"/>
    </row>
    <row r="77" spans="1:10" ht="21.75" customHeight="1">
      <c r="A77" s="345" t="s">
        <v>187</v>
      </c>
      <c r="B77" s="337"/>
      <c r="C77" s="346">
        <v>330</v>
      </c>
      <c r="D77" s="334"/>
      <c r="E77" s="351"/>
      <c r="F77" s="334"/>
      <c r="G77" s="352">
        <f>SUM(G78:G82)</f>
        <v>47219096100</v>
      </c>
      <c r="H77" s="166">
        <f>SUM(H78:H82)</f>
        <v>0</v>
      </c>
      <c r="I77" s="352">
        <f>SUM(I78:I82)</f>
        <v>8793363779</v>
      </c>
      <c r="J77" s="8"/>
    </row>
    <row r="78" spans="1:10" ht="21.75" customHeight="1" hidden="1">
      <c r="A78" s="341" t="s">
        <v>133</v>
      </c>
      <c r="B78" s="341"/>
      <c r="C78" s="342">
        <v>331</v>
      </c>
      <c r="D78" s="342"/>
      <c r="E78" s="353"/>
      <c r="F78" s="334"/>
      <c r="G78" s="349"/>
      <c r="H78" s="349"/>
      <c r="I78" s="349"/>
      <c r="J78" s="17"/>
    </row>
    <row r="79" spans="1:10" ht="21.75" customHeight="1" hidden="1">
      <c r="A79" s="341" t="s">
        <v>247</v>
      </c>
      <c r="B79" s="341"/>
      <c r="C79" s="342">
        <v>322</v>
      </c>
      <c r="D79" s="342"/>
      <c r="E79" s="353"/>
      <c r="F79" s="334"/>
      <c r="G79" s="349"/>
      <c r="H79" s="349"/>
      <c r="I79" s="349"/>
      <c r="J79" s="17"/>
    </row>
    <row r="80" spans="1:10" ht="21.75" customHeight="1">
      <c r="A80" s="341" t="s">
        <v>134</v>
      </c>
      <c r="B80" s="393"/>
      <c r="C80" s="342">
        <v>334</v>
      </c>
      <c r="D80" s="342"/>
      <c r="E80" s="343" t="s">
        <v>271</v>
      </c>
      <c r="F80" s="334"/>
      <c r="G80" s="87">
        <v>47019096100</v>
      </c>
      <c r="H80" s="349"/>
      <c r="I80" s="87">
        <f>632000000+8161363779</f>
        <v>8793363779</v>
      </c>
      <c r="J80" s="17"/>
    </row>
    <row r="81" spans="1:10" ht="21.75" customHeight="1">
      <c r="A81" s="341" t="s">
        <v>23</v>
      </c>
      <c r="B81" s="341"/>
      <c r="C81" s="342">
        <v>333</v>
      </c>
      <c r="D81" s="342"/>
      <c r="E81" s="353"/>
      <c r="F81" s="334"/>
      <c r="G81" s="87">
        <v>200000000</v>
      </c>
      <c r="H81" s="349"/>
      <c r="I81" s="87">
        <v>0</v>
      </c>
      <c r="J81" s="17"/>
    </row>
    <row r="82" spans="1:10" ht="18.75" customHeight="1" hidden="1">
      <c r="A82" s="341" t="s">
        <v>134</v>
      </c>
      <c r="B82" s="341"/>
      <c r="C82" s="342">
        <v>334</v>
      </c>
      <c r="D82" s="342"/>
      <c r="E82" s="343" t="s">
        <v>271</v>
      </c>
      <c r="F82" s="342"/>
      <c r="G82" s="87"/>
      <c r="H82" s="87"/>
      <c r="I82" s="87"/>
      <c r="J82" s="7"/>
    </row>
    <row r="83" spans="1:10" ht="21.75" customHeight="1">
      <c r="A83" s="392" t="s">
        <v>184</v>
      </c>
      <c r="B83" s="333"/>
      <c r="C83" s="338">
        <v>400</v>
      </c>
      <c r="D83" s="334"/>
      <c r="E83" s="350"/>
      <c r="F83" s="334"/>
      <c r="G83" s="163">
        <f>G84+G91</f>
        <v>157409939251</v>
      </c>
      <c r="H83" s="166"/>
      <c r="I83" s="163">
        <f>I84+I91</f>
        <v>112430523036</v>
      </c>
      <c r="J83" s="8"/>
    </row>
    <row r="84" spans="1:12" ht="21.75" customHeight="1">
      <c r="A84" s="345" t="s">
        <v>188</v>
      </c>
      <c r="B84" s="337"/>
      <c r="C84" s="346">
        <v>410</v>
      </c>
      <c r="D84" s="334"/>
      <c r="E84" s="351"/>
      <c r="F84" s="334"/>
      <c r="G84" s="352">
        <f>SUM(G85:G90)</f>
        <v>157842298751</v>
      </c>
      <c r="H84" s="166"/>
      <c r="I84" s="352">
        <f>SUM(I85:I90)</f>
        <v>112824953036</v>
      </c>
      <c r="J84" s="8"/>
      <c r="K84" s="18"/>
      <c r="L84" s="18"/>
    </row>
    <row r="85" spans="1:12" ht="19.5" customHeight="1">
      <c r="A85" s="341" t="s">
        <v>135</v>
      </c>
      <c r="B85" s="341"/>
      <c r="C85" s="342">
        <v>411</v>
      </c>
      <c r="D85" s="342"/>
      <c r="E85" s="34" t="s">
        <v>272</v>
      </c>
      <c r="F85" s="342"/>
      <c r="G85" s="87">
        <v>84703500000</v>
      </c>
      <c r="H85" s="87"/>
      <c r="I85" s="87">
        <v>54483550000</v>
      </c>
      <c r="J85" s="7"/>
      <c r="K85" s="87"/>
      <c r="L85" s="87"/>
    </row>
    <row r="86" spans="1:13" ht="18.75" customHeight="1">
      <c r="A86" s="341" t="s">
        <v>233</v>
      </c>
      <c r="B86" s="341"/>
      <c r="C86" s="342">
        <v>412</v>
      </c>
      <c r="D86" s="342"/>
      <c r="E86" s="34"/>
      <c r="F86" s="334"/>
      <c r="G86" s="87">
        <v>58558245765</v>
      </c>
      <c r="H86" s="87"/>
      <c r="I86" s="87">
        <v>42096692432</v>
      </c>
      <c r="J86" s="7"/>
      <c r="K86" s="451"/>
      <c r="L86" s="451"/>
      <c r="M86" s="18"/>
    </row>
    <row r="87" spans="1:13" ht="18.75" customHeight="1">
      <c r="A87" s="341" t="s">
        <v>24</v>
      </c>
      <c r="B87" s="341"/>
      <c r="C87" s="342">
        <v>414</v>
      </c>
      <c r="D87" s="342"/>
      <c r="E87" s="34"/>
      <c r="F87" s="334"/>
      <c r="G87" s="87">
        <v>-8352000</v>
      </c>
      <c r="H87" s="87"/>
      <c r="I87" s="87">
        <v>-8352000</v>
      </c>
      <c r="J87" s="7"/>
      <c r="K87" s="451"/>
      <c r="L87" s="451"/>
      <c r="M87" s="18"/>
    </row>
    <row r="88" spans="1:10" ht="18.75" customHeight="1">
      <c r="A88" s="341" t="s">
        <v>136</v>
      </c>
      <c r="B88" s="341"/>
      <c r="C88" s="342">
        <v>416</v>
      </c>
      <c r="D88" s="342"/>
      <c r="E88" s="34" t="s">
        <v>272</v>
      </c>
      <c r="F88" s="342"/>
      <c r="G88" s="87">
        <v>5487848558</v>
      </c>
      <c r="H88" s="87"/>
      <c r="I88" s="87">
        <v>5287848558</v>
      </c>
      <c r="J88" s="7"/>
    </row>
    <row r="89" spans="1:10" ht="18.75" customHeight="1">
      <c r="A89" s="341" t="s">
        <v>137</v>
      </c>
      <c r="B89" s="341"/>
      <c r="C89" s="342">
        <v>417</v>
      </c>
      <c r="D89" s="342"/>
      <c r="E89" s="34" t="s">
        <v>272</v>
      </c>
      <c r="F89" s="342"/>
      <c r="G89" s="87">
        <v>2045000000</v>
      </c>
      <c r="H89" s="87"/>
      <c r="I89" s="87">
        <v>1695000000</v>
      </c>
      <c r="J89" s="7"/>
    </row>
    <row r="90" spans="1:13" ht="18.75" customHeight="1">
      <c r="A90" s="341" t="s">
        <v>138</v>
      </c>
      <c r="B90" s="341"/>
      <c r="C90" s="344">
        <v>419</v>
      </c>
      <c r="D90" s="344"/>
      <c r="E90" s="335"/>
      <c r="F90" s="334"/>
      <c r="G90" s="87">
        <f>9720791492-2262735064-500000000+98000000</f>
        <v>7056056428</v>
      </c>
      <c r="H90" s="87"/>
      <c r="I90" s="87">
        <v>9270214046</v>
      </c>
      <c r="J90" s="7"/>
      <c r="K90" s="7"/>
      <c r="L90" s="7"/>
      <c r="M90" s="29"/>
    </row>
    <row r="91" spans="1:11" ht="20.25" customHeight="1">
      <c r="A91" s="336" t="s">
        <v>189</v>
      </c>
      <c r="B91" s="337"/>
      <c r="C91" s="338">
        <v>430</v>
      </c>
      <c r="D91" s="334"/>
      <c r="E91" s="339"/>
      <c r="F91" s="334"/>
      <c r="G91" s="163">
        <f>G92</f>
        <v>-432359500</v>
      </c>
      <c r="H91" s="166"/>
      <c r="I91" s="163">
        <f>I92</f>
        <v>-394430000</v>
      </c>
      <c r="J91" s="8"/>
      <c r="K91" s="29"/>
    </row>
    <row r="92" spans="1:13" ht="17.25">
      <c r="A92" s="341" t="s">
        <v>139</v>
      </c>
      <c r="B92" s="393"/>
      <c r="C92" s="344" t="s">
        <v>168</v>
      </c>
      <c r="D92" s="342"/>
      <c r="E92" s="335"/>
      <c r="F92" s="334"/>
      <c r="G92" s="87">
        <f>-284157000-148202500</f>
        <v>-432359500</v>
      </c>
      <c r="H92" s="87"/>
      <c r="I92" s="87">
        <f>-161510000-232920000</f>
        <v>-394430000</v>
      </c>
      <c r="J92" s="7"/>
      <c r="K92" s="18"/>
      <c r="M92" s="18"/>
    </row>
    <row r="93" spans="1:10" ht="17.25" hidden="1">
      <c r="A93" s="341" t="s">
        <v>111</v>
      </c>
      <c r="B93" s="341"/>
      <c r="C93" s="342">
        <v>423</v>
      </c>
      <c r="D93" s="342"/>
      <c r="E93" s="335"/>
      <c r="F93" s="334"/>
      <c r="G93" s="87"/>
      <c r="H93" s="87"/>
      <c r="I93" s="87"/>
      <c r="J93" s="7"/>
    </row>
    <row r="94" spans="1:14" ht="21.75" customHeight="1" thickBot="1">
      <c r="A94" s="452" t="s">
        <v>180</v>
      </c>
      <c r="B94" s="452"/>
      <c r="C94" s="453">
        <v>440</v>
      </c>
      <c r="D94" s="453"/>
      <c r="E94" s="454"/>
      <c r="F94" s="453"/>
      <c r="G94" s="455">
        <f>G83+G66</f>
        <v>245378549183</v>
      </c>
      <c r="H94" s="455"/>
      <c r="I94" s="455">
        <f>I83+I66</f>
        <v>144059511693</v>
      </c>
      <c r="J94" s="22"/>
      <c r="K94" s="18"/>
      <c r="L94" s="18"/>
      <c r="M94" s="18"/>
      <c r="N94" s="18"/>
    </row>
    <row r="95" spans="1:11" ht="14.25" customHeight="1" thickTop="1">
      <c r="A95" s="3"/>
      <c r="B95" s="394"/>
      <c r="C95" s="395"/>
      <c r="D95" s="395"/>
      <c r="E95" s="386"/>
      <c r="F95" s="386"/>
      <c r="G95" s="396"/>
      <c r="H95" s="396"/>
      <c r="I95" s="397"/>
      <c r="J95" s="24"/>
      <c r="K95" s="23"/>
    </row>
    <row r="96" spans="1:13" s="32" customFormat="1" ht="25.5" customHeight="1" thickBot="1">
      <c r="A96" s="302" t="s">
        <v>193</v>
      </c>
      <c r="B96" s="302"/>
      <c r="C96" s="456"/>
      <c r="D96" s="456"/>
      <c r="E96" s="457"/>
      <c r="F96" s="457"/>
      <c r="G96" s="396"/>
      <c r="H96" s="396"/>
      <c r="I96" s="397"/>
      <c r="J96" s="458"/>
      <c r="K96" s="459"/>
      <c r="L96" s="459"/>
      <c r="M96" s="459"/>
    </row>
    <row r="97" spans="1:13" ht="33.75" customHeight="1" thickBot="1">
      <c r="A97" s="460" t="s">
        <v>174</v>
      </c>
      <c r="B97" s="460"/>
      <c r="C97" s="461"/>
      <c r="D97" s="461"/>
      <c r="E97" s="445" t="s">
        <v>208</v>
      </c>
      <c r="F97" s="445"/>
      <c r="G97" s="678" t="s">
        <v>544</v>
      </c>
      <c r="H97" s="447"/>
      <c r="I97" s="678" t="s">
        <v>19</v>
      </c>
      <c r="J97" s="462"/>
      <c r="K97" s="18"/>
      <c r="L97" s="18"/>
      <c r="M97" s="18"/>
    </row>
    <row r="98" spans="1:13" ht="21.75" customHeight="1" thickBot="1">
      <c r="A98" s="430" t="s">
        <v>183</v>
      </c>
      <c r="B98" s="430"/>
      <c r="C98" s="431"/>
      <c r="D98" s="431"/>
      <c r="E98" s="432"/>
      <c r="F98" s="432"/>
      <c r="G98" s="679">
        <f>516.97+103907.63</f>
        <v>104424.6</v>
      </c>
      <c r="H98" s="433"/>
      <c r="I98" s="463">
        <v>988.28</v>
      </c>
      <c r="J98" s="462"/>
      <c r="K98" s="18"/>
      <c r="L98" s="18"/>
      <c r="M98" s="18"/>
    </row>
    <row r="99" spans="1:13" ht="1.5" customHeight="1" thickTop="1">
      <c r="A99" s="3"/>
      <c r="B99" s="394"/>
      <c r="C99" s="395"/>
      <c r="D99" s="395"/>
      <c r="E99" s="386"/>
      <c r="F99" s="386"/>
      <c r="G99" s="35"/>
      <c r="H99" s="35"/>
      <c r="I99" s="35"/>
      <c r="J99" s="462"/>
      <c r="K99" s="18"/>
      <c r="L99" s="18"/>
      <c r="M99" s="18"/>
    </row>
    <row r="100" spans="1:13" ht="18" customHeight="1">
      <c r="A100" s="3"/>
      <c r="B100" s="394"/>
      <c r="C100" s="395"/>
      <c r="D100" s="395"/>
      <c r="E100" s="386"/>
      <c r="F100" s="386"/>
      <c r="G100" s="832" t="s">
        <v>547</v>
      </c>
      <c r="H100" s="832"/>
      <c r="I100" s="832"/>
      <c r="J100" s="462"/>
      <c r="K100" s="18"/>
      <c r="L100" s="18"/>
      <c r="M100" s="18"/>
    </row>
    <row r="101" spans="1:12" ht="28.5" customHeight="1">
      <c r="A101" s="400" t="s">
        <v>309</v>
      </c>
      <c r="B101" s="400"/>
      <c r="C101" s="401"/>
      <c r="D101" s="401"/>
      <c r="E101" s="334"/>
      <c r="F101" s="334"/>
      <c r="G101" s="831" t="s">
        <v>357</v>
      </c>
      <c r="H101" s="831"/>
      <c r="I101" s="831"/>
      <c r="J101" s="25"/>
      <c r="L101" s="18"/>
    </row>
    <row r="102" spans="1:12" ht="36" customHeight="1">
      <c r="A102" s="400"/>
      <c r="B102" s="400"/>
      <c r="C102" s="401"/>
      <c r="D102" s="401"/>
      <c r="E102" s="334"/>
      <c r="F102" s="334"/>
      <c r="G102" s="464"/>
      <c r="H102" s="464"/>
      <c r="I102" s="465"/>
      <c r="J102" s="466"/>
      <c r="L102" s="18"/>
    </row>
    <row r="103" spans="1:10" ht="36" customHeight="1">
      <c r="A103" s="400"/>
      <c r="B103" s="400"/>
      <c r="C103" s="401"/>
      <c r="D103" s="401"/>
      <c r="E103" s="334"/>
      <c r="F103" s="334"/>
      <c r="G103" s="464"/>
      <c r="H103" s="464"/>
      <c r="I103" s="465"/>
      <c r="J103" s="466"/>
    </row>
    <row r="104" spans="1:10" ht="17.25">
      <c r="A104" s="3"/>
      <c r="B104" s="394"/>
      <c r="C104" s="395"/>
      <c r="D104" s="395"/>
      <c r="E104" s="386"/>
      <c r="F104" s="386"/>
      <c r="G104" s="830"/>
      <c r="H104" s="830"/>
      <c r="I104" s="830"/>
      <c r="J104" s="27"/>
    </row>
    <row r="105" spans="1:10" ht="18" customHeight="1">
      <c r="A105" s="394"/>
      <c r="B105" s="400"/>
      <c r="C105" s="401"/>
      <c r="D105" s="401"/>
      <c r="E105" s="334"/>
      <c r="F105" s="334"/>
      <c r="G105" s="831"/>
      <c r="H105" s="831"/>
      <c r="I105" s="831"/>
      <c r="J105" s="25"/>
    </row>
    <row r="106" spans="1:10" ht="18" customHeight="1">
      <c r="A106" s="399"/>
      <c r="B106" s="402"/>
      <c r="C106" s="401"/>
      <c r="D106" s="401"/>
      <c r="E106" s="334"/>
      <c r="F106" s="334"/>
      <c r="G106" s="403"/>
      <c r="H106" s="403"/>
      <c r="I106" s="404"/>
      <c r="J106" s="28"/>
    </row>
    <row r="107" ht="18.75">
      <c r="A107" s="467"/>
    </row>
  </sheetData>
  <mergeCells count="4">
    <mergeCell ref="G104:I104"/>
    <mergeCell ref="G105:I105"/>
    <mergeCell ref="G100:I100"/>
    <mergeCell ref="G101:I101"/>
  </mergeCells>
  <printOptions/>
  <pageMargins left="0.82" right="0.15" top="0.5" bottom="0.25" header="0.25" footer="0.25"/>
  <pageSetup horizontalDpi="600" verticalDpi="600" orientation="portrait" paperSize="9" r:id="rId1"/>
  <headerFooter alignWithMargins="0">
    <oddFooter xml:space="preserve">&amp;L&amp;"VNI-Helve-Condense,Italic"&amp;10  Caùc thuyeát minh töø trang 7 ñeán trang 16 laø phaàn khoâng theå taùch rôøi cuûa baùo caùo naøy&amp;R&amp;"VNI-Helve-Condense,Normal"&amp;10Trang &amp;P+0   </oddFooter>
  </headerFooter>
</worksheet>
</file>

<file path=xl/worksheets/sheet2.xml><?xml version="1.0" encoding="utf-8"?>
<worksheet xmlns="http://schemas.openxmlformats.org/spreadsheetml/2006/main" xmlns:r="http://schemas.openxmlformats.org/officeDocument/2006/relationships">
  <dimension ref="B1:L37"/>
  <sheetViews>
    <sheetView tabSelected="1" workbookViewId="0" topLeftCell="A1">
      <selection activeCell="G11" sqref="G11"/>
    </sheetView>
  </sheetViews>
  <sheetFormatPr defaultColWidth="9" defaultRowHeight="14.25"/>
  <cols>
    <col min="1" max="1" width="6" style="3" customWidth="1"/>
    <col min="2" max="2" width="48.3984375" style="3" customWidth="1"/>
    <col min="3" max="3" width="5.59765625" style="3" customWidth="1"/>
    <col min="4" max="4" width="7.5" style="398" customWidth="1"/>
    <col min="5" max="5" width="18.09765625" style="398" customWidth="1"/>
    <col min="6" max="6" width="17.19921875" style="427" customWidth="1"/>
    <col min="7" max="7" width="18.5" style="428" customWidth="1"/>
    <col min="8" max="8" width="18" style="3" customWidth="1"/>
    <col min="9" max="9" width="20.8984375" style="3" customWidth="1"/>
    <col min="10" max="10" width="8.09765625" style="42" bestFit="1" customWidth="1"/>
    <col min="11" max="11" width="17.59765625" style="3" customWidth="1"/>
    <col min="12" max="12" width="14.5" style="3" customWidth="1"/>
    <col min="13" max="13" width="17.09765625" style="36" customWidth="1"/>
    <col min="14" max="16384" width="9" style="3" customWidth="1"/>
  </cols>
  <sheetData>
    <row r="1" spans="2:10" ht="19.5" customHeight="1">
      <c r="B1" s="134" t="str">
        <f>CDKT!A1</f>
        <v>COÂNG TY COÅ PHAÀN THUÛY SAÛN SOÁ 4 </v>
      </c>
      <c r="C1" s="468"/>
      <c r="D1" s="468"/>
      <c r="E1" s="468"/>
      <c r="F1" s="409"/>
      <c r="G1" s="410"/>
      <c r="H1" s="411" t="s">
        <v>248</v>
      </c>
      <c r="I1" s="680"/>
      <c r="J1" s="681"/>
    </row>
    <row r="2" spans="2:10" ht="24" customHeight="1">
      <c r="B2" s="429" t="s">
        <v>294</v>
      </c>
      <c r="C2" s="469"/>
      <c r="D2" s="469"/>
      <c r="E2" s="469"/>
      <c r="F2" s="412"/>
      <c r="G2" s="413"/>
      <c r="H2" s="47"/>
      <c r="I2" s="47"/>
      <c r="J2" s="681"/>
    </row>
    <row r="3" spans="2:10" ht="19.5" customHeight="1">
      <c r="B3" s="134" t="s">
        <v>545</v>
      </c>
      <c r="C3" s="468"/>
      <c r="D3" s="468"/>
      <c r="E3" s="468"/>
      <c r="F3" s="409"/>
      <c r="G3" s="410"/>
      <c r="H3" s="411" t="str">
        <f>'[1]CDKT'!G3</f>
        <v>Ñôn vò tính: VNÑ </v>
      </c>
      <c r="I3" s="680"/>
      <c r="J3" s="681"/>
    </row>
    <row r="4" spans="2:10" ht="3" customHeight="1">
      <c r="B4" s="405"/>
      <c r="C4" s="405"/>
      <c r="D4" s="470"/>
      <c r="E4" s="470"/>
      <c r="F4" s="414"/>
      <c r="G4" s="414"/>
      <c r="H4" s="81"/>
      <c r="I4" s="87"/>
      <c r="J4" s="682"/>
    </row>
    <row r="5" spans="2:10" ht="24" customHeight="1" thickBot="1">
      <c r="B5" s="415"/>
      <c r="C5" s="415"/>
      <c r="D5" s="471"/>
      <c r="E5" s="471"/>
      <c r="F5" s="416"/>
      <c r="G5" s="416"/>
      <c r="H5" s="396"/>
      <c r="I5" s="396"/>
      <c r="J5" s="681"/>
    </row>
    <row r="6" spans="2:10" ht="24" customHeight="1">
      <c r="B6" s="834" t="s">
        <v>185</v>
      </c>
      <c r="C6" s="834" t="s">
        <v>194</v>
      </c>
      <c r="D6" s="836" t="s">
        <v>208</v>
      </c>
      <c r="E6" s="838" t="s">
        <v>546</v>
      </c>
      <c r="F6" s="838"/>
      <c r="G6" s="833" t="s">
        <v>469</v>
      </c>
      <c r="H6" s="833"/>
      <c r="I6" s="396"/>
      <c r="J6" s="681"/>
    </row>
    <row r="7" spans="2:10" ht="33.75" customHeight="1" thickBot="1">
      <c r="B7" s="835"/>
      <c r="C7" s="835"/>
      <c r="D7" s="837"/>
      <c r="E7" s="683" t="s">
        <v>451</v>
      </c>
      <c r="F7" s="684" t="s">
        <v>452</v>
      </c>
      <c r="G7" s="683" t="s">
        <v>451</v>
      </c>
      <c r="H7" s="684" t="s">
        <v>452</v>
      </c>
      <c r="I7" s="685"/>
      <c r="J7" s="686"/>
    </row>
    <row r="8" spans="2:12" ht="24.75" customHeight="1">
      <c r="B8" s="687" t="s">
        <v>140</v>
      </c>
      <c r="C8" s="688" t="s">
        <v>171</v>
      </c>
      <c r="D8" s="737" t="s">
        <v>290</v>
      </c>
      <c r="E8" s="689">
        <f>37403593967+21460510370</f>
        <v>58864104337</v>
      </c>
      <c r="F8" s="690">
        <v>46734625452</v>
      </c>
      <c r="G8" s="689">
        <f>51928820733+72641643628+E8</f>
        <v>183434568698</v>
      </c>
      <c r="H8" s="691">
        <v>173437983922</v>
      </c>
      <c r="I8" s="287"/>
      <c r="J8" s="692"/>
      <c r="L8" s="693"/>
    </row>
    <row r="9" spans="2:11" ht="19.5" customHeight="1">
      <c r="B9" s="694" t="s">
        <v>359</v>
      </c>
      <c r="C9" s="695" t="s">
        <v>172</v>
      </c>
      <c r="D9" s="720"/>
      <c r="E9" s="696">
        <f>821251152+89049960</f>
        <v>910301112</v>
      </c>
      <c r="F9" s="697">
        <v>436566592</v>
      </c>
      <c r="G9" s="696">
        <f>1339611845+661891500+E9</f>
        <v>2911804457</v>
      </c>
      <c r="H9" s="698">
        <v>533558368</v>
      </c>
      <c r="I9" s="89"/>
      <c r="J9" s="699"/>
      <c r="K9" s="693"/>
    </row>
    <row r="10" spans="2:10" ht="21.75" customHeight="1">
      <c r="B10" s="700" t="s">
        <v>141</v>
      </c>
      <c r="C10" s="701" t="s">
        <v>249</v>
      </c>
      <c r="D10" s="720"/>
      <c r="E10" s="702">
        <f>E8-E9:E9</f>
        <v>57953803225</v>
      </c>
      <c r="F10" s="703">
        <f>F8-F9</f>
        <v>46298058860</v>
      </c>
      <c r="G10" s="702">
        <f>G8-G9</f>
        <v>180522764241</v>
      </c>
      <c r="H10" s="704">
        <f>H8-H9</f>
        <v>172904425554</v>
      </c>
      <c r="I10" s="287"/>
      <c r="J10" s="705"/>
    </row>
    <row r="11" spans="2:11" ht="19.5" customHeight="1">
      <c r="B11" s="694" t="s">
        <v>154</v>
      </c>
      <c r="C11" s="695">
        <v>11</v>
      </c>
      <c r="D11" s="720" t="s">
        <v>275</v>
      </c>
      <c r="E11" s="696">
        <f>30491917052+20423294337-98000000</f>
        <v>50817211389</v>
      </c>
      <c r="F11" s="697">
        <v>40324918261</v>
      </c>
      <c r="G11" s="696">
        <f>61965861791+42699471295+E11</f>
        <v>155482544475</v>
      </c>
      <c r="H11" s="698">
        <v>153313375225</v>
      </c>
      <c r="I11" s="89"/>
      <c r="J11" s="699"/>
      <c r="K11" s="693"/>
    </row>
    <row r="12" spans="2:10" ht="21.75" customHeight="1">
      <c r="B12" s="706" t="s">
        <v>142</v>
      </c>
      <c r="C12" s="707">
        <v>20</v>
      </c>
      <c r="D12" s="695"/>
      <c r="E12" s="708">
        <f>E10-E11</f>
        <v>7136591836</v>
      </c>
      <c r="F12" s="703">
        <f>F10-F11</f>
        <v>5973140599</v>
      </c>
      <c r="G12" s="708">
        <f>G10-G11</f>
        <v>25040219766</v>
      </c>
      <c r="H12" s="704">
        <f>H10-H11</f>
        <v>19591050329</v>
      </c>
      <c r="I12" s="287"/>
      <c r="J12" s="699"/>
    </row>
    <row r="13" spans="2:11" ht="19.5" customHeight="1">
      <c r="B13" s="694" t="s">
        <v>143</v>
      </c>
      <c r="C13" s="695">
        <v>21</v>
      </c>
      <c r="D13" s="720" t="s">
        <v>328</v>
      </c>
      <c r="E13" s="696">
        <f>102612005+401935794</f>
        <v>504547799</v>
      </c>
      <c r="F13" s="697">
        <v>202462214</v>
      </c>
      <c r="G13" s="696">
        <f>614088958+891465321+E13</f>
        <v>2010102078</v>
      </c>
      <c r="H13" s="698">
        <v>645625427</v>
      </c>
      <c r="I13" s="89"/>
      <c r="J13" s="699"/>
      <c r="K13" s="693"/>
    </row>
    <row r="14" spans="2:11" ht="19.5" customHeight="1">
      <c r="B14" s="694" t="s">
        <v>329</v>
      </c>
      <c r="C14" s="695">
        <v>22</v>
      </c>
      <c r="D14" s="720" t="s">
        <v>26</v>
      </c>
      <c r="E14" s="696">
        <f>63187846+1557290332</f>
        <v>1620478178</v>
      </c>
      <c r="F14" s="698">
        <v>162077461</v>
      </c>
      <c r="G14" s="696">
        <f>766174665+1434270184+E14</f>
        <v>3820923027</v>
      </c>
      <c r="H14" s="698">
        <v>916852493</v>
      </c>
      <c r="I14" s="89"/>
      <c r="J14" s="699"/>
      <c r="K14" s="693"/>
    </row>
    <row r="15" spans="2:11" ht="19.5" customHeight="1">
      <c r="B15" s="709" t="s">
        <v>360</v>
      </c>
      <c r="C15" s="710">
        <v>23</v>
      </c>
      <c r="D15" s="738"/>
      <c r="E15" s="711">
        <v>1189430721</v>
      </c>
      <c r="F15" s="712">
        <v>53620550</v>
      </c>
      <c r="G15" s="711">
        <f>715843025+1250981833+E15</f>
        <v>3156255579</v>
      </c>
      <c r="H15" s="713">
        <v>653058707</v>
      </c>
      <c r="I15" s="89"/>
      <c r="J15" s="699"/>
      <c r="K15" s="693"/>
    </row>
    <row r="16" spans="2:11" ht="19.5" customHeight="1">
      <c r="B16" s="694" t="s">
        <v>144</v>
      </c>
      <c r="C16" s="695">
        <v>24</v>
      </c>
      <c r="D16" s="720"/>
      <c r="E16" s="696">
        <f>1571663070+1160147978</f>
        <v>2731811048</v>
      </c>
      <c r="F16" s="698">
        <v>1910045546</v>
      </c>
      <c r="G16" s="696">
        <f>2938248416+4240192300+E16</f>
        <v>9910251764</v>
      </c>
      <c r="H16" s="698">
        <v>8452166308</v>
      </c>
      <c r="I16" s="89"/>
      <c r="J16" s="699"/>
      <c r="K16" s="693"/>
    </row>
    <row r="17" spans="2:11" ht="19.5" customHeight="1">
      <c r="B17" s="694" t="s">
        <v>145</v>
      </c>
      <c r="C17" s="695">
        <v>25</v>
      </c>
      <c r="D17" s="720"/>
      <c r="E17" s="696">
        <f>660225171+428390966+500000000</f>
        <v>1588616137</v>
      </c>
      <c r="F17" s="697">
        <f>830677509+500000000</f>
        <v>1330677509</v>
      </c>
      <c r="G17" s="696">
        <f>1623748467+908551436+E17</f>
        <v>4120916040</v>
      </c>
      <c r="H17" s="698">
        <v>3920564329</v>
      </c>
      <c r="I17" s="89"/>
      <c r="J17" s="699"/>
      <c r="K17" s="693"/>
    </row>
    <row r="18" spans="2:10" ht="21.75" customHeight="1">
      <c r="B18" s="714" t="s">
        <v>146</v>
      </c>
      <c r="C18" s="715">
        <v>30</v>
      </c>
      <c r="D18" s="720"/>
      <c r="E18" s="716">
        <f>E12+E13-E14-E16-E17</f>
        <v>1700234272</v>
      </c>
      <c r="F18" s="716">
        <f>F12+F13-F14-F16-F17</f>
        <v>2772802297</v>
      </c>
      <c r="G18" s="716">
        <f>G12+G13-G14-G16-G17</f>
        <v>9198231013</v>
      </c>
      <c r="H18" s="717">
        <f>H12+H13-H14-H16-H17</f>
        <v>6947092626</v>
      </c>
      <c r="I18" s="287"/>
      <c r="J18" s="705"/>
    </row>
    <row r="19" spans="2:11" ht="19.5" customHeight="1">
      <c r="B19" s="694" t="s">
        <v>147</v>
      </c>
      <c r="C19" s="695">
        <v>31</v>
      </c>
      <c r="D19" s="720"/>
      <c r="E19" s="696">
        <f>54002440+495550902</f>
        <v>549553342</v>
      </c>
      <c r="F19" s="697">
        <v>27741273</v>
      </c>
      <c r="G19" s="696">
        <f>98403561+325643000+E19</f>
        <v>973599903</v>
      </c>
      <c r="H19" s="698">
        <v>703172243</v>
      </c>
      <c r="I19" s="89"/>
      <c r="J19" s="699"/>
      <c r="K19" s="693"/>
    </row>
    <row r="20" spans="2:11" ht="19.5" customHeight="1">
      <c r="B20" s="694" t="s">
        <v>148</v>
      </c>
      <c r="C20" s="695">
        <v>32</v>
      </c>
      <c r="D20" s="720"/>
      <c r="E20" s="696">
        <v>750000</v>
      </c>
      <c r="F20" s="697">
        <v>15237184</v>
      </c>
      <c r="G20" s="696">
        <f>957276+6592886+E20</f>
        <v>8300162</v>
      </c>
      <c r="H20" s="698">
        <v>15237964</v>
      </c>
      <c r="I20" s="89"/>
      <c r="J20" s="699"/>
      <c r="K20" s="693"/>
    </row>
    <row r="21" spans="2:11" ht="19.5" customHeight="1">
      <c r="B21" s="718" t="s">
        <v>155</v>
      </c>
      <c r="C21" s="719">
        <v>40</v>
      </c>
      <c r="D21" s="720"/>
      <c r="E21" s="702">
        <f>E19-E20</f>
        <v>548803342</v>
      </c>
      <c r="F21" s="703">
        <f>F19-F20</f>
        <v>12504089</v>
      </c>
      <c r="G21" s="702">
        <f>G19-G20</f>
        <v>965299741</v>
      </c>
      <c r="H21" s="704">
        <f>H19-H20</f>
        <v>687934279</v>
      </c>
      <c r="I21" s="287"/>
      <c r="J21" s="699"/>
      <c r="K21" s="451"/>
    </row>
    <row r="22" spans="2:11" ht="21.75" customHeight="1">
      <c r="B22" s="714" t="s">
        <v>156</v>
      </c>
      <c r="C22" s="715">
        <v>50</v>
      </c>
      <c r="D22" s="720"/>
      <c r="E22" s="703">
        <f>E18+E21</f>
        <v>2249037614</v>
      </c>
      <c r="F22" s="704">
        <f>F18+F21</f>
        <v>2785306386</v>
      </c>
      <c r="G22" s="703">
        <f>G18+G21</f>
        <v>10163530754</v>
      </c>
      <c r="H22" s="704">
        <f>H18+H21</f>
        <v>7635026905</v>
      </c>
      <c r="I22" s="287"/>
      <c r="J22" s="699"/>
      <c r="K22" s="451"/>
    </row>
    <row r="23" spans="2:11" ht="19.5" customHeight="1">
      <c r="B23" s="694" t="s">
        <v>331</v>
      </c>
      <c r="C23" s="695"/>
      <c r="D23" s="720"/>
      <c r="E23" s="696"/>
      <c r="F23" s="697">
        <v>91691318</v>
      </c>
      <c r="G23" s="696">
        <v>661606841</v>
      </c>
      <c r="H23" s="698">
        <v>1370750233</v>
      </c>
      <c r="I23" s="89"/>
      <c r="J23" s="699"/>
      <c r="K23" s="693"/>
    </row>
    <row r="24" spans="2:12" ht="21.75" customHeight="1">
      <c r="B24" s="706" t="s">
        <v>330</v>
      </c>
      <c r="C24" s="720">
        <v>51</v>
      </c>
      <c r="D24" s="720" t="s">
        <v>289</v>
      </c>
      <c r="E24" s="696"/>
      <c r="F24" s="697">
        <f>F25</f>
        <v>9169131.8</v>
      </c>
      <c r="G24" s="696">
        <f>G25</f>
        <v>132321368.2</v>
      </c>
      <c r="H24" s="698">
        <f>H25</f>
        <v>137075023.3</v>
      </c>
      <c r="I24" s="287"/>
      <c r="J24" s="699"/>
      <c r="K24" s="693"/>
      <c r="L24" s="693"/>
    </row>
    <row r="25" spans="2:12" ht="19.5" customHeight="1">
      <c r="B25" s="728" t="s">
        <v>447</v>
      </c>
      <c r="C25" s="729"/>
      <c r="D25" s="740"/>
      <c r="E25" s="730"/>
      <c r="F25" s="731">
        <f>F23*0.2*0.5</f>
        <v>9169131.8</v>
      </c>
      <c r="G25" s="730">
        <f>G23*0.2</f>
        <v>132321368.2</v>
      </c>
      <c r="H25" s="732">
        <f>H23*0.5*0.2</f>
        <v>137075023.3</v>
      </c>
      <c r="I25" s="287"/>
      <c r="J25" s="705"/>
      <c r="K25" s="693"/>
      <c r="L25" s="693"/>
    </row>
    <row r="26" spans="2:12" ht="21.75" customHeight="1">
      <c r="B26" s="733" t="s">
        <v>327</v>
      </c>
      <c r="C26" s="734">
        <v>52</v>
      </c>
      <c r="D26" s="734"/>
      <c r="E26" s="734"/>
      <c r="F26" s="735"/>
      <c r="G26" s="734"/>
      <c r="H26" s="736"/>
      <c r="I26" s="287"/>
      <c r="J26" s="705"/>
      <c r="K26" s="693"/>
      <c r="L26" s="693"/>
    </row>
    <row r="27" spans="2:12" ht="21.75" customHeight="1" thickBot="1">
      <c r="B27" s="721" t="s">
        <v>326</v>
      </c>
      <c r="C27" s="722">
        <v>60</v>
      </c>
      <c r="D27" s="739"/>
      <c r="E27" s="727">
        <f>E22</f>
        <v>2249037614</v>
      </c>
      <c r="F27" s="723">
        <f>F22-F25</f>
        <v>2776137254.2</v>
      </c>
      <c r="G27" s="727">
        <f>G22-G25</f>
        <v>10031209385.8</v>
      </c>
      <c r="H27" s="724">
        <f>H22-H25</f>
        <v>7497951881.7</v>
      </c>
      <c r="I27" s="287"/>
      <c r="J27" s="705"/>
      <c r="K27" s="287"/>
      <c r="L27" s="693"/>
    </row>
    <row r="28" spans="2:12" ht="1.5" customHeight="1" thickBot="1">
      <c r="B28" s="418"/>
      <c r="C28" s="418"/>
      <c r="D28" s="419"/>
      <c r="E28" s="419"/>
      <c r="F28" s="420"/>
      <c r="G28" s="420"/>
      <c r="H28" s="421"/>
      <c r="I28" s="421"/>
      <c r="J28" s="418"/>
      <c r="K28" s="693"/>
      <c r="L28" s="693"/>
    </row>
    <row r="29" spans="2:12" ht="9.75" customHeight="1" thickTop="1">
      <c r="B29" s="422"/>
      <c r="C29" s="422"/>
      <c r="D29" s="473"/>
      <c r="E29" s="473"/>
      <c r="F29" s="423"/>
      <c r="G29" s="424"/>
      <c r="H29" s="396"/>
      <c r="I29" s="396"/>
      <c r="J29" s="472"/>
      <c r="K29" s="693"/>
      <c r="L29" s="693"/>
    </row>
    <row r="30" spans="2:12" ht="21.75" customHeight="1">
      <c r="B30" s="422" t="s">
        <v>550</v>
      </c>
      <c r="C30" s="422"/>
      <c r="D30" s="473"/>
      <c r="E30" s="473"/>
      <c r="F30" s="423"/>
      <c r="G30" s="424"/>
      <c r="H30" s="396"/>
      <c r="I30" s="396"/>
      <c r="J30" s="472"/>
      <c r="K30" s="693"/>
      <c r="L30" s="693"/>
    </row>
    <row r="31" spans="2:12" ht="21.75" customHeight="1">
      <c r="B31" s="422" t="s">
        <v>551</v>
      </c>
      <c r="C31" s="422"/>
      <c r="D31" s="473"/>
      <c r="E31" s="473"/>
      <c r="F31" s="423"/>
      <c r="G31" s="424"/>
      <c r="H31" s="396"/>
      <c r="I31" s="396"/>
      <c r="J31" s="472"/>
      <c r="K31" s="693"/>
      <c r="L31" s="693"/>
    </row>
    <row r="32" spans="2:12" ht="21.75" customHeight="1">
      <c r="B32" s="425"/>
      <c r="C32" s="425"/>
      <c r="D32" s="474"/>
      <c r="E32" s="474"/>
      <c r="F32" s="832" t="str">
        <f>CDKT!G100</f>
        <v>Ngaøy 15 thaùng 01 naêm 2009</v>
      </c>
      <c r="G32" s="832"/>
      <c r="H32" s="832"/>
      <c r="I32" s="675"/>
      <c r="J32" s="725"/>
      <c r="K32" s="693"/>
      <c r="L32" s="693"/>
    </row>
    <row r="33" spans="2:12" ht="21.75" customHeight="1">
      <c r="B33" s="400" t="s">
        <v>310</v>
      </c>
      <c r="C33" s="475"/>
      <c r="D33" s="476"/>
      <c r="E33" s="476"/>
      <c r="F33" s="831" t="str">
        <f>'[5]CDKT'!G106</f>
        <v>Toång Giaùm Ñoác</v>
      </c>
      <c r="G33" s="831"/>
      <c r="H33" s="831"/>
      <c r="I33" s="676"/>
      <c r="J33" s="726"/>
      <c r="K33" s="693"/>
      <c r="L33" s="693"/>
    </row>
    <row r="34" ht="18" customHeight="1">
      <c r="B34" s="426"/>
    </row>
    <row r="35" ht="21.75" customHeight="1">
      <c r="B35" s="477"/>
    </row>
    <row r="36" ht="18" customHeight="1">
      <c r="B36" s="478"/>
    </row>
    <row r="37" ht="15.75">
      <c r="B37" s="426"/>
    </row>
  </sheetData>
  <mergeCells count="7">
    <mergeCell ref="G6:H6"/>
    <mergeCell ref="F32:H32"/>
    <mergeCell ref="F33:H33"/>
    <mergeCell ref="B6:B7"/>
    <mergeCell ref="C6:C7"/>
    <mergeCell ref="D6:D7"/>
    <mergeCell ref="E6:F6"/>
  </mergeCells>
  <printOptions/>
  <pageMargins left="0.5" right="0.25" top="0.5" bottom="0.5" header="0.25" footer="0.25"/>
  <pageSetup horizontalDpi="600" verticalDpi="600" orientation="landscape" paperSize="9" r:id="rId1"/>
  <headerFooter alignWithMargins="0">
    <oddFooter xml:space="preserve">&amp;L&amp;"VNI-Times,Italic"Caùc thuyeát minh töø trang 7 ñeán trang 16 laø phaàn khoâng theå taùch rôøi cuûa baùo caùo naøy&amp;RTrang &amp;P+2 </oddFooter>
  </headerFooter>
</worksheet>
</file>

<file path=xl/worksheets/sheet3.xml><?xml version="1.0" encoding="utf-8"?>
<worksheet xmlns="http://schemas.openxmlformats.org/spreadsheetml/2006/main" xmlns:r="http://schemas.openxmlformats.org/officeDocument/2006/relationships">
  <dimension ref="A1:K43"/>
  <sheetViews>
    <sheetView showGridLines="0" workbookViewId="0" topLeftCell="A1">
      <selection activeCell="G17" sqref="G17"/>
    </sheetView>
  </sheetViews>
  <sheetFormatPr defaultColWidth="8.796875" defaultRowHeight="14.25"/>
  <cols>
    <col min="1" max="1" width="46.59765625" style="3" customWidth="1"/>
    <col min="2" max="2" width="1.59765625" style="399" customWidth="1"/>
    <col min="3" max="3" width="5" style="3" customWidth="1"/>
    <col min="4" max="4" width="0.8984375" style="399" customWidth="1"/>
    <col min="5" max="5" width="6.19921875" style="3" customWidth="1"/>
    <col min="6" max="6" width="0.8984375" style="3" customWidth="1"/>
    <col min="7" max="7" width="15.5" style="535" customWidth="1"/>
    <col min="8" max="8" width="1.1015625" style="535" customWidth="1"/>
    <col min="9" max="9" width="14.5" style="535" customWidth="1"/>
    <col min="10" max="10" width="15.5" style="3" customWidth="1"/>
    <col min="11" max="11" width="18.59765625" style="3" customWidth="1"/>
    <col min="12" max="16384" width="9" style="3" customWidth="1"/>
  </cols>
  <sheetData>
    <row r="1" spans="1:9" s="44" customFormat="1" ht="18" customHeight="1">
      <c r="A1" s="68" t="str">
        <f>'[3]CDKT'!A1</f>
        <v>COÂNG TY COÅ PHAÀN THUÛY SAÛN SOÁ 4 </v>
      </c>
      <c r="B1" s="129"/>
      <c r="C1" s="68"/>
      <c r="D1" s="479"/>
      <c r="E1" s="480"/>
      <c r="F1" s="480"/>
      <c r="G1" s="427"/>
      <c r="H1" s="427"/>
      <c r="I1" s="481" t="s">
        <v>163</v>
      </c>
    </row>
    <row r="2" spans="1:9" ht="21.75" customHeight="1">
      <c r="A2" s="482" t="s">
        <v>195</v>
      </c>
      <c r="B2" s="129"/>
      <c r="C2" s="68"/>
      <c r="D2" s="95"/>
      <c r="E2" s="42"/>
      <c r="F2" s="42"/>
      <c r="G2" s="483"/>
      <c r="H2" s="483"/>
      <c r="I2" s="483"/>
    </row>
    <row r="3" spans="1:9" ht="18" customHeight="1">
      <c r="A3" s="68" t="s">
        <v>367</v>
      </c>
      <c r="B3" s="129"/>
      <c r="C3" s="68"/>
      <c r="D3" s="479"/>
      <c r="E3" s="480"/>
      <c r="F3" s="480"/>
      <c r="G3" s="427"/>
      <c r="H3" s="427"/>
      <c r="I3" s="481"/>
    </row>
    <row r="4" spans="1:9" ht="18" customHeight="1">
      <c r="A4" s="68" t="s">
        <v>543</v>
      </c>
      <c r="B4" s="129"/>
      <c r="C4" s="68"/>
      <c r="D4" s="479"/>
      <c r="E4" s="480"/>
      <c r="F4" s="480"/>
      <c r="G4" s="427"/>
      <c r="H4" s="427"/>
      <c r="I4" s="481" t="str">
        <f>'[4]CDKT'!G3</f>
        <v>Ñôn vò tính: VNÑ </v>
      </c>
    </row>
    <row r="5" spans="1:9" ht="3" customHeight="1">
      <c r="A5" s="405"/>
      <c r="B5" s="405"/>
      <c r="C5" s="405"/>
      <c r="D5" s="406"/>
      <c r="E5" s="407"/>
      <c r="F5" s="407"/>
      <c r="G5" s="484"/>
      <c r="H5" s="484"/>
      <c r="I5" s="485"/>
    </row>
    <row r="6" spans="1:9" ht="19.5" customHeight="1">
      <c r="A6" s="486"/>
      <c r="B6" s="486"/>
      <c r="C6" s="486"/>
      <c r="D6" s="486"/>
      <c r="E6" s="486"/>
      <c r="F6" s="486"/>
      <c r="G6" s="839" t="s">
        <v>471</v>
      </c>
      <c r="H6" s="839"/>
      <c r="I6" s="839"/>
    </row>
    <row r="7" spans="1:9" ht="30.75" customHeight="1">
      <c r="A7" s="487" t="s">
        <v>174</v>
      </c>
      <c r="B7" s="436"/>
      <c r="C7" s="487" t="s">
        <v>194</v>
      </c>
      <c r="D7" s="436"/>
      <c r="E7" s="487" t="s">
        <v>208</v>
      </c>
      <c r="F7" s="487"/>
      <c r="G7" s="755" t="s">
        <v>544</v>
      </c>
      <c r="H7" s="488"/>
      <c r="I7" s="755" t="s">
        <v>19</v>
      </c>
    </row>
    <row r="8" spans="1:11" s="53" customFormat="1" ht="19.5" customHeight="1">
      <c r="A8" s="489" t="s">
        <v>388</v>
      </c>
      <c r="B8" s="129"/>
      <c r="C8" s="490" t="s">
        <v>171</v>
      </c>
      <c r="D8" s="491"/>
      <c r="E8" s="492"/>
      <c r="G8" s="492">
        <f>KQKD!G22</f>
        <v>10163530754</v>
      </c>
      <c r="H8" s="279"/>
      <c r="I8" s="492">
        <f>KQKD!H22</f>
        <v>7635026905</v>
      </c>
      <c r="K8" s="493"/>
    </row>
    <row r="9" spans="1:11" s="53" customFormat="1" ht="19.5" customHeight="1">
      <c r="A9" s="494" t="s">
        <v>389</v>
      </c>
      <c r="B9" s="129"/>
      <c r="C9" s="495"/>
      <c r="D9" s="134"/>
      <c r="E9" s="496"/>
      <c r="G9" s="496">
        <f>SUM(G10:G13)</f>
        <v>6567191356</v>
      </c>
      <c r="H9" s="279"/>
      <c r="I9" s="496">
        <f>SUM(I10:I13)</f>
        <v>3332478444</v>
      </c>
      <c r="J9" s="493"/>
      <c r="K9" s="493"/>
    </row>
    <row r="10" spans="1:11" s="53" customFormat="1" ht="19.5" customHeight="1">
      <c r="A10" s="497" t="s">
        <v>390</v>
      </c>
      <c r="B10" s="184"/>
      <c r="C10" s="498" t="s">
        <v>198</v>
      </c>
      <c r="D10" s="491"/>
      <c r="E10" s="499"/>
      <c r="F10" s="491"/>
      <c r="G10" s="493">
        <f>710843207+389271621</f>
        <v>1100114828</v>
      </c>
      <c r="H10" s="493"/>
      <c r="I10" s="493">
        <v>2149277601</v>
      </c>
      <c r="J10" s="493"/>
      <c r="K10" s="40"/>
    </row>
    <row r="11" spans="1:10" s="53" customFormat="1" ht="19.5" customHeight="1">
      <c r="A11" s="497" t="s">
        <v>391</v>
      </c>
      <c r="B11" s="184"/>
      <c r="C11" s="498" t="s">
        <v>172</v>
      </c>
      <c r="D11" s="491"/>
      <c r="E11" s="493"/>
      <c r="F11" s="54"/>
      <c r="G11" s="493">
        <v>500000000</v>
      </c>
      <c r="H11" s="493"/>
      <c r="I11" s="493">
        <v>500000000</v>
      </c>
      <c r="J11" s="135"/>
    </row>
    <row r="12" spans="1:10" s="53" customFormat="1" ht="19.5" customHeight="1">
      <c r="A12" s="497" t="s">
        <v>27</v>
      </c>
      <c r="B12" s="184"/>
      <c r="C12" s="498" t="s">
        <v>173</v>
      </c>
      <c r="D12" s="491"/>
      <c r="E12" s="493"/>
      <c r="F12" s="54"/>
      <c r="G12" s="41">
        <v>1810820949</v>
      </c>
      <c r="H12" s="493"/>
      <c r="I12" s="41">
        <v>-67396581</v>
      </c>
      <c r="J12" s="135"/>
    </row>
    <row r="13" spans="1:9" s="53" customFormat="1" ht="19.5" customHeight="1">
      <c r="A13" s="497" t="s">
        <v>392</v>
      </c>
      <c r="B13" s="184"/>
      <c r="C13" s="498" t="s">
        <v>199</v>
      </c>
      <c r="D13" s="491"/>
      <c r="E13" s="493"/>
      <c r="F13" s="54"/>
      <c r="G13" s="41">
        <v>3156255579</v>
      </c>
      <c r="H13" s="493"/>
      <c r="I13" s="41">
        <v>750597424</v>
      </c>
    </row>
    <row r="14" spans="1:9" s="399" customFormat="1" ht="31.5" customHeight="1">
      <c r="A14" s="500" t="s">
        <v>393</v>
      </c>
      <c r="B14" s="501"/>
      <c r="C14" s="502" t="s">
        <v>394</v>
      </c>
      <c r="D14" s="503"/>
      <c r="E14" s="504"/>
      <c r="F14" s="505"/>
      <c r="G14" s="504">
        <f>G8+G9</f>
        <v>16730722110</v>
      </c>
      <c r="H14" s="506"/>
      <c r="I14" s="504">
        <f>I8+I9</f>
        <v>10967505349</v>
      </c>
    </row>
    <row r="15" spans="1:10" s="399" customFormat="1" ht="19.5" customHeight="1">
      <c r="A15" s="497" t="s">
        <v>395</v>
      </c>
      <c r="B15" s="497"/>
      <c r="C15" s="498" t="s">
        <v>396</v>
      </c>
      <c r="D15" s="491"/>
      <c r="E15" s="4"/>
      <c r="G15" s="4">
        <v>-27231363637</v>
      </c>
      <c r="H15" s="4"/>
      <c r="I15" s="4">
        <v>10208599866</v>
      </c>
      <c r="J15" s="4"/>
    </row>
    <row r="16" spans="1:10" s="399" customFormat="1" ht="18" customHeight="1">
      <c r="A16" s="507" t="s">
        <v>397</v>
      </c>
      <c r="B16" s="437"/>
      <c r="C16" s="508" t="s">
        <v>249</v>
      </c>
      <c r="D16" s="509"/>
      <c r="E16" s="41"/>
      <c r="F16" s="434"/>
      <c r="G16" s="41">
        <f>715684375-98000000</f>
        <v>617684375</v>
      </c>
      <c r="H16" s="41"/>
      <c r="I16" s="41">
        <v>-5484149032</v>
      </c>
      <c r="J16" s="4"/>
    </row>
    <row r="17" spans="1:9" s="399" customFormat="1" ht="18" customHeight="1">
      <c r="A17" s="507" t="s">
        <v>398</v>
      </c>
      <c r="B17" s="437"/>
      <c r="C17" s="510">
        <v>11</v>
      </c>
      <c r="D17" s="511"/>
      <c r="E17" s="41"/>
      <c r="F17" s="434"/>
      <c r="G17" s="41">
        <v>1106977114</v>
      </c>
      <c r="H17" s="41"/>
      <c r="I17" s="41">
        <v>5182845835</v>
      </c>
    </row>
    <row r="18" spans="1:9" s="399" customFormat="1" ht="18" customHeight="1">
      <c r="A18" s="507" t="s">
        <v>399</v>
      </c>
      <c r="B18" s="437"/>
      <c r="C18" s="510">
        <v>12</v>
      </c>
      <c r="D18" s="511"/>
      <c r="E18" s="41"/>
      <c r="F18" s="434"/>
      <c r="G18" s="41">
        <v>-76428948983</v>
      </c>
      <c r="H18" s="41"/>
      <c r="I18" s="41">
        <v>-93583860</v>
      </c>
    </row>
    <row r="19" spans="1:9" s="399" customFormat="1" ht="18" customHeight="1">
      <c r="A19" s="507" t="s">
        <v>400</v>
      </c>
      <c r="B19" s="437"/>
      <c r="C19" s="510">
        <v>13</v>
      </c>
      <c r="D19" s="511"/>
      <c r="E19" s="41"/>
      <c r="F19" s="434"/>
      <c r="G19" s="41">
        <f>-G13</f>
        <v>-3156255579</v>
      </c>
      <c r="H19" s="41"/>
      <c r="I19" s="41">
        <v>-750597424</v>
      </c>
    </row>
    <row r="20" spans="1:10" s="399" customFormat="1" ht="18" customHeight="1">
      <c r="A20" s="507" t="s">
        <v>401</v>
      </c>
      <c r="B20" s="437"/>
      <c r="C20" s="510">
        <v>14</v>
      </c>
      <c r="D20" s="511"/>
      <c r="E20" s="41"/>
      <c r="F20" s="434"/>
      <c r="G20" s="41">
        <v>-480280924</v>
      </c>
      <c r="H20" s="41"/>
      <c r="I20" s="41">
        <v>-130000000</v>
      </c>
      <c r="J20" s="4"/>
    </row>
    <row r="21" spans="1:10" s="399" customFormat="1" ht="18" customHeight="1">
      <c r="A21" s="507" t="s">
        <v>402</v>
      </c>
      <c r="B21" s="437"/>
      <c r="C21" s="510">
        <v>15</v>
      </c>
      <c r="D21" s="511"/>
      <c r="E21" s="41"/>
      <c r="F21" s="434"/>
      <c r="G21" s="41">
        <v>839199912</v>
      </c>
      <c r="H21" s="41"/>
      <c r="I21" s="41">
        <v>166202118</v>
      </c>
      <c r="J21" s="4"/>
    </row>
    <row r="22" spans="1:10" s="399" customFormat="1" ht="18" customHeight="1">
      <c r="A22" s="507" t="s">
        <v>403</v>
      </c>
      <c r="B22" s="437"/>
      <c r="C22" s="512">
        <v>16</v>
      </c>
      <c r="D22" s="511"/>
      <c r="E22" s="41"/>
      <c r="F22" s="434"/>
      <c r="G22" s="41">
        <f>-1504342953-100332000-2137566780-1484779280-434104634</f>
        <v>-5661125647</v>
      </c>
      <c r="H22" s="41"/>
      <c r="I22" s="41">
        <v>-3133148600</v>
      </c>
      <c r="J22" s="4"/>
    </row>
    <row r="23" spans="1:9" s="53" customFormat="1" ht="19.5" customHeight="1">
      <c r="A23" s="513" t="s">
        <v>196</v>
      </c>
      <c r="B23" s="129"/>
      <c r="C23" s="514">
        <v>20</v>
      </c>
      <c r="D23" s="515"/>
      <c r="E23" s="408"/>
      <c r="G23" s="408">
        <f>SUM(G14:G22)</f>
        <v>-93663391259</v>
      </c>
      <c r="H23" s="43">
        <f>SUM(H14:H22)</f>
        <v>0</v>
      </c>
      <c r="I23" s="408">
        <f>SUM(I14:I22)</f>
        <v>16933674252</v>
      </c>
    </row>
    <row r="24" spans="1:9" s="53" customFormat="1" ht="19.5" customHeight="1">
      <c r="A24" s="98" t="s">
        <v>28</v>
      </c>
      <c r="B24" s="226"/>
      <c r="C24" s="99"/>
      <c r="D24" s="226"/>
      <c r="E24" s="484"/>
      <c r="F24" s="197"/>
      <c r="G24" s="516"/>
      <c r="H24" s="213"/>
      <c r="I24" s="516"/>
    </row>
    <row r="25" spans="1:10" s="399" customFormat="1" ht="19.5" customHeight="1">
      <c r="A25" s="497" t="s">
        <v>404</v>
      </c>
      <c r="B25" s="497"/>
      <c r="C25" s="498">
        <v>21</v>
      </c>
      <c r="D25" s="491">
        <v>0</v>
      </c>
      <c r="E25" s="4"/>
      <c r="G25" s="4">
        <f>-192301171-167349862-851972715-179798372-1022769372</f>
        <v>-2414191492</v>
      </c>
      <c r="H25" s="4"/>
      <c r="I25" s="4">
        <v>-69681983557</v>
      </c>
      <c r="J25" s="4"/>
    </row>
    <row r="26" spans="1:9" s="399" customFormat="1" ht="18" customHeight="1">
      <c r="A26" s="517" t="s">
        <v>405</v>
      </c>
      <c r="B26" s="517"/>
      <c r="C26" s="54">
        <v>22</v>
      </c>
      <c r="D26" s="95"/>
      <c r="E26" s="518"/>
      <c r="G26" s="519">
        <v>68181818</v>
      </c>
      <c r="H26" s="519"/>
      <c r="I26" s="519">
        <v>63636364</v>
      </c>
    </row>
    <row r="27" spans="1:9" s="399" customFormat="1" ht="18" customHeight="1">
      <c r="A27" s="517" t="s">
        <v>29</v>
      </c>
      <c r="B27" s="517"/>
      <c r="C27" s="54">
        <v>25</v>
      </c>
      <c r="D27" s="95"/>
      <c r="E27" s="89"/>
      <c r="G27" s="756"/>
      <c r="H27" s="325"/>
      <c r="I27" s="519">
        <v>0</v>
      </c>
    </row>
    <row r="28" spans="1:9" s="399" customFormat="1" ht="18" customHeight="1">
      <c r="A28" s="517" t="s">
        <v>470</v>
      </c>
      <c r="B28" s="517"/>
      <c r="C28" s="54"/>
      <c r="D28" s="95"/>
      <c r="E28" s="89"/>
      <c r="G28" s="756">
        <v>67680000</v>
      </c>
      <c r="H28" s="325"/>
      <c r="I28" s="519">
        <v>0</v>
      </c>
    </row>
    <row r="29" spans="1:9" s="399" customFormat="1" ht="15" customHeight="1">
      <c r="A29" s="517" t="s">
        <v>406</v>
      </c>
      <c r="B29" s="517"/>
      <c r="C29" s="54">
        <v>27</v>
      </c>
      <c r="D29" s="95"/>
      <c r="E29" s="518"/>
      <c r="G29" s="325">
        <f>1588913779+39424159</f>
        <v>1628337938</v>
      </c>
      <c r="H29" s="519"/>
      <c r="I29" s="811">
        <v>67396581</v>
      </c>
    </row>
    <row r="30" spans="1:9" s="53" customFormat="1" ht="19.5" customHeight="1">
      <c r="A30" s="513" t="s">
        <v>407</v>
      </c>
      <c r="B30" s="129"/>
      <c r="C30" s="38">
        <v>30</v>
      </c>
      <c r="D30" s="95"/>
      <c r="E30" s="39"/>
      <c r="G30" s="408">
        <f>SUM(G25:G29)</f>
        <v>-649991736</v>
      </c>
      <c r="H30" s="43">
        <f>SUM(H25:H29)</f>
        <v>0</v>
      </c>
      <c r="I30" s="408">
        <f>SUM(I25:I29)</f>
        <v>-69550950612</v>
      </c>
    </row>
    <row r="31" spans="1:9" s="53" customFormat="1" ht="26.25" customHeight="1">
      <c r="A31" s="98" t="s">
        <v>30</v>
      </c>
      <c r="B31" s="226"/>
      <c r="C31" s="99"/>
      <c r="D31" s="226"/>
      <c r="E31" s="484"/>
      <c r="F31" s="197"/>
      <c r="G31" s="516"/>
      <c r="H31" s="213"/>
      <c r="I31" s="516"/>
    </row>
    <row r="32" spans="1:9" s="53" customFormat="1" ht="27" customHeight="1">
      <c r="A32" s="763" t="s">
        <v>408</v>
      </c>
      <c r="B32" s="129"/>
      <c r="C32" s="95"/>
      <c r="D32" s="95"/>
      <c r="E32" s="518"/>
      <c r="G32" s="520">
        <v>44031920000</v>
      </c>
      <c r="H32" s="520"/>
      <c r="I32" s="520">
        <v>54624509382</v>
      </c>
    </row>
    <row r="33" spans="1:9" s="53" customFormat="1" ht="18" customHeight="1">
      <c r="A33" s="521" t="s">
        <v>409</v>
      </c>
      <c r="B33" s="86"/>
      <c r="C33" s="54">
        <v>33</v>
      </c>
      <c r="D33" s="95"/>
      <c r="E33" s="518"/>
      <c r="G33" s="493">
        <f>162268195300+4080247148</f>
        <v>166348442448</v>
      </c>
      <c r="H33" s="493"/>
      <c r="I33" s="493">
        <v>105627515834</v>
      </c>
    </row>
    <row r="34" spans="1:10" s="434" customFormat="1" ht="18" customHeight="1">
      <c r="A34" s="521" t="s">
        <v>410</v>
      </c>
      <c r="B34" s="86"/>
      <c r="C34" s="508">
        <v>34</v>
      </c>
      <c r="D34" s="95"/>
      <c r="E34" s="40"/>
      <c r="F34" s="40"/>
      <c r="G34" s="40">
        <f>-93005861700-16173377327</f>
        <v>-109179239027</v>
      </c>
      <c r="H34" s="40"/>
      <c r="I34" s="40">
        <v>-102750210628</v>
      </c>
      <c r="J34" s="522"/>
    </row>
    <row r="35" spans="1:10" s="434" customFormat="1" ht="18" customHeight="1">
      <c r="A35" s="521" t="s">
        <v>31</v>
      </c>
      <c r="B35" s="86"/>
      <c r="C35" s="508">
        <v>36</v>
      </c>
      <c r="D35" s="95"/>
      <c r="E35" s="40"/>
      <c r="F35" s="40"/>
      <c r="G35" s="40">
        <v>-7461927000</v>
      </c>
      <c r="H35" s="40"/>
      <c r="I35" s="40">
        <v>-1721202000</v>
      </c>
      <c r="J35" s="522"/>
    </row>
    <row r="36" spans="1:10" s="53" customFormat="1" ht="19.5" customHeight="1">
      <c r="A36" s="513" t="s">
        <v>411</v>
      </c>
      <c r="B36" s="129"/>
      <c r="C36" s="523" t="s">
        <v>412</v>
      </c>
      <c r="D36" s="95"/>
      <c r="E36" s="524"/>
      <c r="F36" s="279">
        <v>-4480766644</v>
      </c>
      <c r="G36" s="408">
        <f>SUM(G32:G35)</f>
        <v>93739196421</v>
      </c>
      <c r="H36" s="43">
        <f>SUM(H32:H34)</f>
        <v>0</v>
      </c>
      <c r="I36" s="408">
        <f>SUM(I32:I35)</f>
        <v>55780612588</v>
      </c>
      <c r="J36" s="493"/>
    </row>
    <row r="37" spans="1:10" s="53" customFormat="1" ht="19.5" customHeight="1">
      <c r="A37" s="513" t="s">
        <v>413</v>
      </c>
      <c r="B37" s="129"/>
      <c r="C37" s="525">
        <v>50</v>
      </c>
      <c r="D37" s="95"/>
      <c r="E37" s="526"/>
      <c r="F37" s="527"/>
      <c r="G37" s="169">
        <f>G36+G30+G23</f>
        <v>-574186574</v>
      </c>
      <c r="H37" s="279"/>
      <c r="I37" s="169">
        <f>I36+I30+I23</f>
        <v>3163336228</v>
      </c>
      <c r="J37" s="493"/>
    </row>
    <row r="38" spans="1:9" s="44" customFormat="1" ht="19.5" customHeight="1">
      <c r="A38" s="78" t="s">
        <v>414</v>
      </c>
      <c r="B38" s="129"/>
      <c r="C38" s="761">
        <v>60</v>
      </c>
      <c r="D38" s="95"/>
      <c r="E38" s="762"/>
      <c r="F38" s="53"/>
      <c r="G38" s="762">
        <v>4019235356</v>
      </c>
      <c r="H38" s="279"/>
      <c r="I38" s="762">
        <v>855899128</v>
      </c>
    </row>
    <row r="39" spans="1:9" s="44" customFormat="1" ht="19.5" customHeight="1">
      <c r="A39" s="79" t="s">
        <v>415</v>
      </c>
      <c r="B39" s="78"/>
      <c r="C39" s="528">
        <v>61</v>
      </c>
      <c r="D39" s="529"/>
      <c r="E39" s="516"/>
      <c r="F39" s="51"/>
      <c r="G39" s="516"/>
      <c r="H39" s="279"/>
      <c r="I39" s="81"/>
    </row>
    <row r="40" spans="1:11" s="44" customFormat="1" ht="19.5" customHeight="1" thickBot="1">
      <c r="A40" s="288" t="s">
        <v>416</v>
      </c>
      <c r="B40" s="288"/>
      <c r="C40" s="530">
        <v>70</v>
      </c>
      <c r="D40" s="435"/>
      <c r="E40" s="531"/>
      <c r="F40" s="532"/>
      <c r="G40" s="533">
        <f>G37+G38+G39</f>
        <v>3445048782</v>
      </c>
      <c r="H40" s="531"/>
      <c r="I40" s="534">
        <f>I37+I38+I39</f>
        <v>4019235356</v>
      </c>
      <c r="J40" s="130"/>
      <c r="K40" s="130"/>
    </row>
    <row r="41" spans="1:9" ht="16.5" thickTop="1">
      <c r="A41" s="399"/>
      <c r="C41" s="54"/>
      <c r="E41" s="399"/>
      <c r="F41" s="399"/>
      <c r="G41" s="399"/>
      <c r="H41" s="399"/>
      <c r="I41" s="399"/>
    </row>
    <row r="42" spans="1:9" ht="16.5" customHeight="1">
      <c r="A42" s="399"/>
      <c r="C42" s="840" t="s">
        <v>547</v>
      </c>
      <c r="D42" s="840"/>
      <c r="E42" s="840"/>
      <c r="F42" s="840"/>
      <c r="G42" s="840"/>
      <c r="H42" s="53"/>
      <c r="I42" s="53"/>
    </row>
    <row r="43" spans="1:9" ht="16.5" customHeight="1">
      <c r="A43" s="764" t="s">
        <v>472</v>
      </c>
      <c r="B43" s="400"/>
      <c r="C43" s="831" t="s">
        <v>475</v>
      </c>
      <c r="D43" s="831"/>
      <c r="E43" s="831"/>
      <c r="F43" s="831"/>
      <c r="G43" s="831"/>
      <c r="H43" s="769"/>
      <c r="I43" s="769"/>
    </row>
  </sheetData>
  <mergeCells count="3">
    <mergeCell ref="G6:I6"/>
    <mergeCell ref="C42:G42"/>
    <mergeCell ref="C43:G43"/>
  </mergeCells>
  <printOptions/>
  <pageMargins left="0.76" right="0" top="0.5" bottom="0.75" header="0.25" footer="0.25"/>
  <pageSetup horizontalDpi="600" verticalDpi="600" orientation="portrait" paperSize="9" r:id="rId3"/>
  <headerFooter alignWithMargins="0">
    <oddFooter xml:space="preserve">&amp;L&amp;"VNI-Helve-Condense,Italic"&amp;10   Caùc thuyeát minh töø trang 7 ñeán trang 16 laø phaàn khoâng theå taùch rôøi cuûa baùo caùo naøy&amp;R&amp;"VNI-Helve-Condense,Normal"&amp;10Trang &amp;P+4  &amp;"VNI-Helve-Condense,Italic" </oddFooter>
  </headerFooter>
  <legacyDrawing r:id="rId2"/>
</worksheet>
</file>

<file path=xl/worksheets/sheet4.xml><?xml version="1.0" encoding="utf-8"?>
<worksheet xmlns="http://schemas.openxmlformats.org/spreadsheetml/2006/main" xmlns:r="http://schemas.openxmlformats.org/officeDocument/2006/relationships">
  <dimension ref="A1:IS443"/>
  <sheetViews>
    <sheetView showGridLines="0" workbookViewId="0" topLeftCell="A296">
      <selection activeCell="G317" sqref="G317"/>
    </sheetView>
  </sheetViews>
  <sheetFormatPr defaultColWidth="8.796875" defaultRowHeight="18" customHeight="1"/>
  <cols>
    <col min="1" max="1" width="2.8984375" style="30" customWidth="1"/>
    <col min="2" max="2" width="1.390625" style="538" customWidth="1"/>
    <col min="3" max="3" width="0.59375" style="538" customWidth="1"/>
    <col min="4" max="4" width="12" style="538" customWidth="1"/>
    <col min="5" max="5" width="5.5" style="538" customWidth="1"/>
    <col min="6" max="6" width="13.69921875" style="538" customWidth="1"/>
    <col min="7" max="7" width="13.8984375" style="538" customWidth="1"/>
    <col min="8" max="8" width="13.09765625" style="538" customWidth="1"/>
    <col min="9" max="9" width="14.59765625" style="548" customWidth="1"/>
    <col min="10" max="10" width="15.5" style="639" customWidth="1"/>
    <col min="11" max="16384" width="12.69921875" style="538" customWidth="1"/>
  </cols>
  <sheetData>
    <row r="1" spans="1:11" ht="19.5" customHeight="1">
      <c r="A1" s="43" t="str">
        <f>'[3]CDKT'!A1</f>
        <v>COÂNG TY COÅ PHAÀN THUÛY SAÛN SOÁ 4 </v>
      </c>
      <c r="B1" s="44"/>
      <c r="C1" s="44"/>
      <c r="D1" s="44"/>
      <c r="E1" s="44"/>
      <c r="F1" s="44"/>
      <c r="G1" s="42"/>
      <c r="H1" s="42"/>
      <c r="I1" s="45"/>
      <c r="J1" s="46" t="s">
        <v>164</v>
      </c>
      <c r="K1" s="537"/>
    </row>
    <row r="2" spans="1:11" ht="24" customHeight="1">
      <c r="A2" s="539" t="s">
        <v>200</v>
      </c>
      <c r="B2" s="44"/>
      <c r="C2" s="44"/>
      <c r="D2" s="44"/>
      <c r="E2" s="44"/>
      <c r="F2" s="44"/>
      <c r="G2" s="42"/>
      <c r="H2" s="42"/>
      <c r="I2" s="45"/>
      <c r="J2" s="50"/>
      <c r="K2" s="537"/>
    </row>
    <row r="3" spans="1:11" ht="19.5" customHeight="1">
      <c r="A3" s="43" t="s">
        <v>543</v>
      </c>
      <c r="B3" s="44"/>
      <c r="C3" s="44"/>
      <c r="D3" s="44"/>
      <c r="E3" s="44"/>
      <c r="F3" s="44"/>
      <c r="G3" s="42"/>
      <c r="H3" s="42"/>
      <c r="I3" s="45"/>
      <c r="J3" s="540" t="str">
        <f>'[2]KQKD'!I3</f>
        <v>Ñôn vò tính : VNÑ</v>
      </c>
      <c r="K3" s="537"/>
    </row>
    <row r="4" spans="1:11" ht="1.5" customHeight="1">
      <c r="A4" s="51"/>
      <c r="B4" s="51"/>
      <c r="C4" s="51"/>
      <c r="D4" s="51"/>
      <c r="E4" s="51"/>
      <c r="F4" s="52"/>
      <c r="G4" s="52"/>
      <c r="H4" s="52"/>
      <c r="I4" s="52"/>
      <c r="J4" s="51"/>
      <c r="K4" s="537"/>
    </row>
    <row r="5" spans="1:11" ht="24" customHeight="1">
      <c r="A5" s="44"/>
      <c r="B5" s="53"/>
      <c r="C5" s="53"/>
      <c r="D5" s="53"/>
      <c r="E5" s="53"/>
      <c r="F5" s="53"/>
      <c r="G5" s="54"/>
      <c r="H5" s="54"/>
      <c r="I5" s="55"/>
      <c r="J5" s="56"/>
      <c r="K5" s="537"/>
    </row>
    <row r="6" spans="1:10" ht="21.75" customHeight="1">
      <c r="A6" s="57" t="s">
        <v>250</v>
      </c>
      <c r="B6" s="58" t="s">
        <v>202</v>
      </c>
      <c r="C6" s="44"/>
      <c r="D6" s="44"/>
      <c r="E6" s="44"/>
      <c r="F6" s="44"/>
      <c r="G6" s="44"/>
      <c r="H6" s="44"/>
      <c r="I6" s="59"/>
      <c r="J6" s="45"/>
    </row>
    <row r="7" spans="1:10" ht="3.75" customHeight="1">
      <c r="A7" s="57"/>
      <c r="B7" s="58"/>
      <c r="C7" s="44"/>
      <c r="D7" s="44"/>
      <c r="E7" s="44"/>
      <c r="F7" s="44"/>
      <c r="G7" s="44"/>
      <c r="H7" s="44"/>
      <c r="I7" s="59"/>
      <c r="J7" s="45"/>
    </row>
    <row r="8" spans="1:253" ht="43.5" customHeight="1">
      <c r="A8" s="63" t="s">
        <v>201</v>
      </c>
      <c r="B8" s="824" t="s">
        <v>32</v>
      </c>
      <c r="C8" s="824"/>
      <c r="D8" s="824"/>
      <c r="E8" s="824"/>
      <c r="F8" s="824"/>
      <c r="G8" s="824"/>
      <c r="H8" s="824"/>
      <c r="I8" s="824"/>
      <c r="J8" s="824"/>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row>
    <row r="9" spans="1:253" ht="19.5" customHeight="1">
      <c r="A9" s="63"/>
      <c r="B9" s="65" t="s">
        <v>33</v>
      </c>
      <c r="D9" s="64"/>
      <c r="E9" s="64"/>
      <c r="F9" s="64"/>
      <c r="G9" s="64"/>
      <c r="H9" s="64"/>
      <c r="I9" s="64"/>
      <c r="J9" s="64"/>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row>
    <row r="10" spans="1:253" ht="43.5" customHeight="1">
      <c r="A10" s="60"/>
      <c r="B10" s="817" t="s">
        <v>34</v>
      </c>
      <c r="C10" s="817"/>
      <c r="D10" s="817"/>
      <c r="E10" s="817"/>
      <c r="F10" s="817"/>
      <c r="G10" s="817"/>
      <c r="H10" s="817"/>
      <c r="I10" s="817"/>
      <c r="J10" s="817"/>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row>
    <row r="11" spans="1:253" ht="19.5" customHeight="1">
      <c r="A11" s="63"/>
      <c r="B11" s="817" t="s">
        <v>35</v>
      </c>
      <c r="C11" s="817"/>
      <c r="D11" s="817"/>
      <c r="E11" s="817"/>
      <c r="F11" s="817"/>
      <c r="G11" s="817"/>
      <c r="H11" s="817"/>
      <c r="I11" s="817"/>
      <c r="J11" s="817"/>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row>
    <row r="12" spans="1:253" ht="19.5" customHeight="1">
      <c r="A12" s="58" t="s">
        <v>158</v>
      </c>
      <c r="B12" s="65" t="s">
        <v>336</v>
      </c>
      <c r="C12" s="65"/>
      <c r="D12" s="65"/>
      <c r="E12" s="65"/>
      <c r="F12" s="65"/>
      <c r="G12" s="65"/>
      <c r="H12" s="65"/>
      <c r="I12" s="65"/>
      <c r="J12" s="65"/>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row>
    <row r="13" spans="1:253" ht="3.75" customHeight="1">
      <c r="A13" s="58"/>
      <c r="B13" s="65"/>
      <c r="C13" s="65"/>
      <c r="D13" s="65"/>
      <c r="E13" s="65"/>
      <c r="F13" s="65"/>
      <c r="G13" s="65"/>
      <c r="H13" s="65"/>
      <c r="I13" s="65"/>
      <c r="J13" s="65"/>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row>
    <row r="14" spans="1:253" ht="19.5" customHeight="1">
      <c r="A14" s="58" t="s">
        <v>204</v>
      </c>
      <c r="B14" s="65" t="s">
        <v>149</v>
      </c>
      <c r="C14" s="65"/>
      <c r="D14" s="65"/>
      <c r="E14" s="65"/>
      <c r="F14" s="65"/>
      <c r="G14" s="65"/>
      <c r="H14" s="65"/>
      <c r="I14" s="65"/>
      <c r="J14" s="65"/>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row>
    <row r="15" spans="1:10" ht="3.75" customHeight="1">
      <c r="A15" s="57"/>
      <c r="B15" s="58"/>
      <c r="C15" s="44"/>
      <c r="D15" s="44"/>
      <c r="E15" s="44"/>
      <c r="F15" s="44"/>
      <c r="G15" s="44"/>
      <c r="H15" s="44"/>
      <c r="I15" s="59"/>
      <c r="J15" s="45"/>
    </row>
    <row r="16" spans="1:10" s="541" customFormat="1" ht="85.5" customHeight="1">
      <c r="A16" s="66" t="s">
        <v>150</v>
      </c>
      <c r="B16" s="824" t="s">
        <v>353</v>
      </c>
      <c r="C16" s="824"/>
      <c r="D16" s="824"/>
      <c r="E16" s="824"/>
      <c r="F16" s="824"/>
      <c r="G16" s="824"/>
      <c r="H16" s="824"/>
      <c r="I16" s="824"/>
      <c r="J16" s="824"/>
    </row>
    <row r="17" spans="1:10" s="543" customFormat="1" ht="25.5" customHeight="1">
      <c r="A17" s="57" t="s">
        <v>251</v>
      </c>
      <c r="B17" s="68" t="s">
        <v>252</v>
      </c>
      <c r="C17" s="68"/>
      <c r="D17" s="68"/>
      <c r="E17" s="68"/>
      <c r="F17" s="68"/>
      <c r="G17" s="68"/>
      <c r="H17" s="68"/>
      <c r="I17" s="68"/>
      <c r="J17" s="542"/>
    </row>
    <row r="18" spans="1:10" s="31" customFormat="1" ht="21.75" customHeight="1">
      <c r="A18" s="68" t="s">
        <v>201</v>
      </c>
      <c r="B18" s="817" t="s">
        <v>314</v>
      </c>
      <c r="C18" s="817"/>
      <c r="D18" s="817"/>
      <c r="E18" s="817"/>
      <c r="F18" s="817"/>
      <c r="G18" s="817"/>
      <c r="H18" s="817"/>
      <c r="I18" s="817"/>
      <c r="J18" s="817"/>
    </row>
    <row r="19" spans="1:10" s="31" customFormat="1" ht="21.75" customHeight="1">
      <c r="A19" s="68" t="s">
        <v>254</v>
      </c>
      <c r="B19" s="817" t="s">
        <v>151</v>
      </c>
      <c r="C19" s="825"/>
      <c r="D19" s="825"/>
      <c r="E19" s="825"/>
      <c r="F19" s="825"/>
      <c r="G19" s="825"/>
      <c r="H19" s="825"/>
      <c r="I19" s="825"/>
      <c r="J19" s="825"/>
    </row>
    <row r="20" spans="1:10" s="31" customFormat="1" ht="25.5" customHeight="1">
      <c r="A20" s="57" t="s">
        <v>255</v>
      </c>
      <c r="B20" s="58" t="s">
        <v>203</v>
      </c>
      <c r="C20" s="44"/>
      <c r="D20" s="44"/>
      <c r="E20" s="44"/>
      <c r="F20" s="44"/>
      <c r="G20" s="44"/>
      <c r="H20" s="44"/>
      <c r="I20" s="59"/>
      <c r="J20" s="45"/>
    </row>
    <row r="21" spans="1:10" s="31" customFormat="1" ht="24" customHeight="1">
      <c r="A21" s="68" t="s">
        <v>201</v>
      </c>
      <c r="B21" s="825" t="s">
        <v>253</v>
      </c>
      <c r="C21" s="825"/>
      <c r="D21" s="825"/>
      <c r="E21" s="825"/>
      <c r="F21" s="825"/>
      <c r="G21" s="825"/>
      <c r="H21" s="825"/>
      <c r="I21" s="825"/>
      <c r="J21" s="825"/>
    </row>
    <row r="22" spans="1:10" s="31" customFormat="1" ht="18" customHeight="1">
      <c r="A22" s="57"/>
      <c r="B22" s="817" t="s">
        <v>352</v>
      </c>
      <c r="C22" s="817"/>
      <c r="D22" s="817"/>
      <c r="E22" s="817"/>
      <c r="F22" s="817"/>
      <c r="G22" s="817"/>
      <c r="H22" s="817"/>
      <c r="I22" s="817"/>
      <c r="J22" s="817"/>
    </row>
    <row r="23" spans="1:10" s="31" customFormat="1" ht="24" customHeight="1">
      <c r="A23" s="68" t="s">
        <v>254</v>
      </c>
      <c r="B23" s="825" t="s">
        <v>152</v>
      </c>
      <c r="C23" s="825"/>
      <c r="D23" s="825"/>
      <c r="E23" s="825"/>
      <c r="F23" s="825"/>
      <c r="G23" s="825"/>
      <c r="H23" s="825"/>
      <c r="I23" s="825"/>
      <c r="J23" s="825"/>
    </row>
    <row r="24" spans="1:10" s="31" customFormat="1" ht="36" customHeight="1">
      <c r="A24" s="68"/>
      <c r="B24" s="817" t="s">
        <v>165</v>
      </c>
      <c r="C24" s="817"/>
      <c r="D24" s="817"/>
      <c r="E24" s="817"/>
      <c r="F24" s="817"/>
      <c r="G24" s="817"/>
      <c r="H24" s="817"/>
      <c r="I24" s="817"/>
      <c r="J24" s="817"/>
    </row>
    <row r="25" spans="1:10" s="31" customFormat="1" ht="24" customHeight="1">
      <c r="A25" s="68" t="s">
        <v>204</v>
      </c>
      <c r="B25" s="825" t="s">
        <v>337</v>
      </c>
      <c r="C25" s="825"/>
      <c r="D25" s="825"/>
      <c r="E25" s="825"/>
      <c r="F25" s="825"/>
      <c r="G25" s="825"/>
      <c r="H25" s="825"/>
      <c r="I25" s="825"/>
      <c r="J25" s="825"/>
    </row>
    <row r="26" spans="1:10" s="31" customFormat="1" ht="25.5" customHeight="1">
      <c r="A26" s="57" t="s">
        <v>256</v>
      </c>
      <c r="B26" s="58" t="s">
        <v>257</v>
      </c>
      <c r="C26" s="44"/>
      <c r="D26" s="44"/>
      <c r="E26" s="44"/>
      <c r="F26" s="44"/>
      <c r="G26" s="44"/>
      <c r="H26" s="44"/>
      <c r="I26" s="59"/>
      <c r="J26" s="45"/>
    </row>
    <row r="27" spans="1:10" s="544" customFormat="1" ht="24" customHeight="1">
      <c r="A27" s="70" t="s">
        <v>201</v>
      </c>
      <c r="B27" s="49" t="s">
        <v>159</v>
      </c>
      <c r="C27" s="67"/>
      <c r="D27" s="67"/>
      <c r="E27" s="67"/>
      <c r="F27" s="67"/>
      <c r="G27" s="67"/>
      <c r="H27" s="67"/>
      <c r="I27" s="69"/>
      <c r="J27" s="69"/>
    </row>
    <row r="28" spans="1:10" s="544" customFormat="1" ht="54" customHeight="1">
      <c r="A28" s="65"/>
      <c r="B28" s="817" t="s">
        <v>88</v>
      </c>
      <c r="C28" s="817"/>
      <c r="D28" s="817"/>
      <c r="E28" s="817"/>
      <c r="F28" s="817"/>
      <c r="G28" s="817"/>
      <c r="H28" s="817"/>
      <c r="I28" s="817"/>
      <c r="J28" s="817"/>
    </row>
    <row r="29" spans="1:10" s="544" customFormat="1" ht="54" customHeight="1">
      <c r="A29" s="62"/>
      <c r="B29" s="817" t="s">
        <v>167</v>
      </c>
      <c r="C29" s="817"/>
      <c r="D29" s="817"/>
      <c r="E29" s="817"/>
      <c r="F29" s="817"/>
      <c r="G29" s="817"/>
      <c r="H29" s="817"/>
      <c r="I29" s="817"/>
      <c r="J29" s="817"/>
    </row>
    <row r="30" spans="1:10" s="544" customFormat="1" ht="36" customHeight="1">
      <c r="A30" s="62"/>
      <c r="B30" s="817" t="s">
        <v>170</v>
      </c>
      <c r="C30" s="817"/>
      <c r="D30" s="817"/>
      <c r="E30" s="817"/>
      <c r="F30" s="817"/>
      <c r="G30" s="817"/>
      <c r="H30" s="817"/>
      <c r="I30" s="817"/>
      <c r="J30" s="817"/>
    </row>
    <row r="31" spans="1:10" s="544" customFormat="1" ht="9.75" customHeight="1">
      <c r="A31" s="62"/>
      <c r="B31" s="61"/>
      <c r="C31" s="61"/>
      <c r="D31" s="61"/>
      <c r="E31" s="61"/>
      <c r="F31" s="61"/>
      <c r="G31" s="61"/>
      <c r="H31" s="61"/>
      <c r="I31" s="61"/>
      <c r="J31" s="61"/>
    </row>
    <row r="32" spans="1:10" s="544" customFormat="1" ht="19.5" customHeight="1">
      <c r="A32" s="71" t="s">
        <v>254</v>
      </c>
      <c r="B32" s="58" t="s">
        <v>161</v>
      </c>
      <c r="C32" s="44"/>
      <c r="D32" s="44"/>
      <c r="E32" s="44"/>
      <c r="F32" s="44"/>
      <c r="G32" s="44"/>
      <c r="H32" s="44"/>
      <c r="I32" s="59"/>
      <c r="J32" s="59"/>
    </row>
    <row r="33" spans="1:10" s="544" customFormat="1" ht="36" customHeight="1">
      <c r="A33" s="65"/>
      <c r="B33" s="817" t="s">
        <v>36</v>
      </c>
      <c r="C33" s="817"/>
      <c r="D33" s="817"/>
      <c r="E33" s="817"/>
      <c r="F33" s="817"/>
      <c r="G33" s="817"/>
      <c r="H33" s="817"/>
      <c r="I33" s="817"/>
      <c r="J33" s="817"/>
    </row>
    <row r="34" spans="1:10" s="544" customFormat="1" ht="19.5" customHeight="1">
      <c r="A34" s="65"/>
      <c r="B34" s="817" t="s">
        <v>417</v>
      </c>
      <c r="C34" s="817"/>
      <c r="D34" s="817"/>
      <c r="E34" s="817"/>
      <c r="F34" s="817"/>
      <c r="G34" s="817"/>
      <c r="H34" s="817"/>
      <c r="I34" s="817"/>
      <c r="J34" s="817"/>
    </row>
    <row r="35" spans="1:10" s="544" customFormat="1" ht="19.5" customHeight="1">
      <c r="A35" s="65"/>
      <c r="B35" s="817" t="s">
        <v>418</v>
      </c>
      <c r="C35" s="817"/>
      <c r="D35" s="817"/>
      <c r="E35" s="817"/>
      <c r="F35" s="817"/>
      <c r="G35" s="817"/>
      <c r="H35" s="817"/>
      <c r="I35" s="817"/>
      <c r="J35" s="817"/>
    </row>
    <row r="36" spans="1:10" s="544" customFormat="1" ht="19.5" customHeight="1">
      <c r="A36" s="65"/>
      <c r="B36" s="817" t="s">
        <v>343</v>
      </c>
      <c r="C36" s="817"/>
      <c r="D36" s="817"/>
      <c r="E36" s="817"/>
      <c r="F36" s="817"/>
      <c r="G36" s="817"/>
      <c r="H36" s="817"/>
      <c r="I36" s="817"/>
      <c r="J36" s="817"/>
    </row>
    <row r="37" spans="1:10" s="544" customFormat="1" ht="25.5" customHeight="1">
      <c r="A37" s="71" t="s">
        <v>204</v>
      </c>
      <c r="B37" s="68" t="s">
        <v>89</v>
      </c>
      <c r="C37" s="68"/>
      <c r="D37" s="68"/>
      <c r="E37" s="68"/>
      <c r="F37" s="68"/>
      <c r="G37" s="68"/>
      <c r="H37" s="68"/>
      <c r="I37" s="68"/>
      <c r="J37" s="68"/>
    </row>
    <row r="38" spans="1:10" s="544" customFormat="1" ht="72" customHeight="1">
      <c r="A38" s="65"/>
      <c r="B38" s="817" t="s">
        <v>37</v>
      </c>
      <c r="C38" s="817"/>
      <c r="D38" s="817"/>
      <c r="E38" s="817"/>
      <c r="F38" s="817"/>
      <c r="G38" s="817"/>
      <c r="H38" s="817"/>
      <c r="I38" s="817"/>
      <c r="J38" s="817"/>
    </row>
    <row r="39" spans="1:10" s="544" customFormat="1" ht="36" customHeight="1">
      <c r="A39" s="65"/>
      <c r="B39" s="817" t="s">
        <v>419</v>
      </c>
      <c r="C39" s="817"/>
      <c r="D39" s="817"/>
      <c r="E39" s="817"/>
      <c r="F39" s="817"/>
      <c r="G39" s="817"/>
      <c r="H39" s="817"/>
      <c r="I39" s="817"/>
      <c r="J39" s="817"/>
    </row>
    <row r="40" spans="1:10" s="544" customFormat="1" ht="72" customHeight="1">
      <c r="A40" s="65"/>
      <c r="B40" s="817" t="s">
        <v>38</v>
      </c>
      <c r="C40" s="817"/>
      <c r="D40" s="817"/>
      <c r="E40" s="817"/>
      <c r="F40" s="817"/>
      <c r="G40" s="817"/>
      <c r="H40" s="817"/>
      <c r="I40" s="817"/>
      <c r="J40" s="817"/>
    </row>
    <row r="41" spans="1:10" ht="6" customHeight="1">
      <c r="A41" s="65"/>
      <c r="B41" s="44"/>
      <c r="C41" s="72"/>
      <c r="D41" s="58"/>
      <c r="E41" s="58"/>
      <c r="F41" s="58"/>
      <c r="G41" s="58"/>
      <c r="H41" s="58"/>
      <c r="I41" s="73"/>
      <c r="J41" s="545"/>
    </row>
    <row r="42" spans="1:10" ht="24" customHeight="1">
      <c r="A42" s="71" t="s">
        <v>206</v>
      </c>
      <c r="B42" s="68" t="s">
        <v>276</v>
      </c>
      <c r="C42" s="68"/>
      <c r="D42" s="68"/>
      <c r="E42" s="68"/>
      <c r="F42" s="68"/>
      <c r="G42" s="68"/>
      <c r="H42" s="68"/>
      <c r="I42" s="68"/>
      <c r="J42" s="68"/>
    </row>
    <row r="43" spans="1:10" s="544" customFormat="1" ht="19.5" customHeight="1">
      <c r="A43" s="74"/>
      <c r="B43" s="817" t="s">
        <v>449</v>
      </c>
      <c r="C43" s="817"/>
      <c r="D43" s="817"/>
      <c r="E43" s="817"/>
      <c r="F43" s="817"/>
      <c r="G43" s="817"/>
      <c r="H43" s="817"/>
      <c r="I43" s="817"/>
      <c r="J43" s="817"/>
    </row>
    <row r="44" spans="1:10" s="544" customFormat="1" ht="19.5" customHeight="1">
      <c r="A44" s="74"/>
      <c r="B44" s="823" t="s">
        <v>434</v>
      </c>
      <c r="C44" s="817"/>
      <c r="D44" s="817"/>
      <c r="E44" s="817"/>
      <c r="F44" s="817"/>
      <c r="G44" s="817"/>
      <c r="H44" s="817"/>
      <c r="I44" s="817"/>
      <c r="J44" s="817"/>
    </row>
    <row r="45" spans="1:10" s="544" customFormat="1" ht="51.75" customHeight="1" hidden="1">
      <c r="A45" s="74"/>
      <c r="B45" s="817" t="s">
        <v>39</v>
      </c>
      <c r="C45" s="817"/>
      <c r="D45" s="817"/>
      <c r="E45" s="817"/>
      <c r="F45" s="817"/>
      <c r="G45" s="817"/>
      <c r="H45" s="817"/>
      <c r="I45" s="817"/>
      <c r="J45" s="817"/>
    </row>
    <row r="46" spans="1:10" s="544" customFormat="1" ht="34.5" customHeight="1" hidden="1">
      <c r="A46" s="74"/>
      <c r="B46" s="817" t="s">
        <v>87</v>
      </c>
      <c r="C46" s="817"/>
      <c r="D46" s="817"/>
      <c r="E46" s="817"/>
      <c r="F46" s="817"/>
      <c r="G46" s="817"/>
      <c r="H46" s="817"/>
      <c r="I46" s="817"/>
      <c r="J46" s="817"/>
    </row>
    <row r="47" spans="1:10" ht="24" customHeight="1">
      <c r="A47" s="71" t="s">
        <v>300</v>
      </c>
      <c r="B47" s="68" t="s">
        <v>311</v>
      </c>
      <c r="C47" s="68"/>
      <c r="D47" s="68"/>
      <c r="E47" s="68"/>
      <c r="F47" s="68"/>
      <c r="G47" s="68"/>
      <c r="H47" s="68"/>
      <c r="I47" s="68"/>
      <c r="J47" s="68"/>
    </row>
    <row r="48" spans="1:10" s="544" customFormat="1" ht="36" customHeight="1">
      <c r="A48" s="75"/>
      <c r="B48" s="817" t="s">
        <v>40</v>
      </c>
      <c r="C48" s="817"/>
      <c r="D48" s="817"/>
      <c r="E48" s="817"/>
      <c r="F48" s="817"/>
      <c r="G48" s="817"/>
      <c r="H48" s="817"/>
      <c r="I48" s="817"/>
      <c r="J48" s="817"/>
    </row>
    <row r="49" spans="1:10" ht="24" customHeight="1">
      <c r="A49" s="71" t="s">
        <v>312</v>
      </c>
      <c r="B49" s="68" t="s">
        <v>313</v>
      </c>
      <c r="C49" s="68"/>
      <c r="D49" s="68"/>
      <c r="E49" s="68"/>
      <c r="F49" s="68"/>
      <c r="G49" s="68"/>
      <c r="H49" s="68"/>
      <c r="I49" s="68"/>
      <c r="J49" s="68"/>
    </row>
    <row r="50" spans="1:10" s="544" customFormat="1" ht="21.75" customHeight="1">
      <c r="A50" s="74"/>
      <c r="B50" s="823" t="s">
        <v>41</v>
      </c>
      <c r="C50" s="817"/>
      <c r="D50" s="817"/>
      <c r="E50" s="817"/>
      <c r="F50" s="817"/>
      <c r="G50" s="817"/>
      <c r="H50" s="817"/>
      <c r="I50" s="817"/>
      <c r="J50" s="817"/>
    </row>
    <row r="51" spans="1:10" ht="24" customHeight="1">
      <c r="A51" s="71" t="s">
        <v>277</v>
      </c>
      <c r="B51" s="68" t="s">
        <v>278</v>
      </c>
      <c r="C51" s="68"/>
      <c r="D51" s="68"/>
      <c r="E51" s="68"/>
      <c r="F51" s="68"/>
      <c r="G51" s="68"/>
      <c r="H51" s="68"/>
      <c r="I51" s="68"/>
      <c r="J51" s="68"/>
    </row>
    <row r="52" spans="1:10" s="544" customFormat="1" ht="36" customHeight="1">
      <c r="A52" s="71"/>
      <c r="B52" s="817" t="s">
        <v>42</v>
      </c>
      <c r="C52" s="817"/>
      <c r="D52" s="817"/>
      <c r="E52" s="817"/>
      <c r="F52" s="817"/>
      <c r="G52" s="817"/>
      <c r="H52" s="817"/>
      <c r="I52" s="817"/>
      <c r="J52" s="817"/>
    </row>
    <row r="53" spans="1:10" s="544" customFormat="1" ht="36" customHeight="1">
      <c r="A53" s="71"/>
      <c r="B53" s="817" t="s">
        <v>386</v>
      </c>
      <c r="C53" s="817"/>
      <c r="D53" s="817"/>
      <c r="E53" s="817"/>
      <c r="F53" s="817"/>
      <c r="G53" s="817"/>
      <c r="H53" s="817"/>
      <c r="I53" s="817"/>
      <c r="J53" s="817"/>
    </row>
    <row r="54" spans="1:10" s="546" customFormat="1" ht="24" customHeight="1">
      <c r="A54" s="97" t="s">
        <v>301</v>
      </c>
      <c r="B54" s="209" t="s">
        <v>279</v>
      </c>
      <c r="C54" s="110"/>
      <c r="D54" s="110"/>
      <c r="E54" s="110"/>
      <c r="F54" s="110"/>
      <c r="G54" s="111"/>
      <c r="H54" s="111"/>
      <c r="I54" s="186"/>
      <c r="J54" s="204"/>
    </row>
    <row r="55" spans="1:10" s="544" customFormat="1" ht="54" customHeight="1">
      <c r="A55" s="71"/>
      <c r="B55" s="817" t="s">
        <v>43</v>
      </c>
      <c r="C55" s="817"/>
      <c r="D55" s="817"/>
      <c r="E55" s="817"/>
      <c r="F55" s="817"/>
      <c r="G55" s="817"/>
      <c r="H55" s="817"/>
      <c r="I55" s="817"/>
      <c r="J55" s="817"/>
    </row>
    <row r="56" spans="1:10" s="544" customFormat="1" ht="14.25" customHeight="1">
      <c r="A56" s="71"/>
      <c r="B56" s="61"/>
      <c r="C56" s="61"/>
      <c r="D56" s="61"/>
      <c r="E56" s="61"/>
      <c r="F56" s="61"/>
      <c r="G56" s="61"/>
      <c r="H56" s="61"/>
      <c r="I56" s="61"/>
      <c r="J56" s="61"/>
    </row>
    <row r="57" spans="1:10" ht="24" customHeight="1">
      <c r="A57" s="71" t="s">
        <v>333</v>
      </c>
      <c r="B57" s="68" t="s">
        <v>334</v>
      </c>
      <c r="C57" s="68"/>
      <c r="D57" s="68"/>
      <c r="E57" s="68"/>
      <c r="F57" s="68"/>
      <c r="G57" s="68"/>
      <c r="H57" s="68"/>
      <c r="I57" s="68"/>
      <c r="J57" s="68"/>
    </row>
    <row r="58" spans="1:10" s="547" customFormat="1" ht="34.5" customHeight="1">
      <c r="A58" s="70"/>
      <c r="B58" s="817" t="s">
        <v>44</v>
      </c>
      <c r="C58" s="817"/>
      <c r="D58" s="817"/>
      <c r="E58" s="817"/>
      <c r="F58" s="817"/>
      <c r="G58" s="817"/>
      <c r="H58" s="817"/>
      <c r="I58" s="817"/>
      <c r="J58" s="817"/>
    </row>
    <row r="59" spans="1:10" s="547" customFormat="1" ht="34.5" customHeight="1">
      <c r="A59" s="70"/>
      <c r="B59" s="817" t="s">
        <v>45</v>
      </c>
      <c r="C59" s="817"/>
      <c r="D59" s="817"/>
      <c r="E59" s="817"/>
      <c r="F59" s="817"/>
      <c r="G59" s="817"/>
      <c r="H59" s="817"/>
      <c r="I59" s="817"/>
      <c r="J59" s="817"/>
    </row>
    <row r="60" spans="1:10" ht="30" customHeight="1">
      <c r="A60" s="71" t="s">
        <v>274</v>
      </c>
      <c r="B60" s="68" t="s">
        <v>273</v>
      </c>
      <c r="C60" s="68"/>
      <c r="D60" s="68"/>
      <c r="E60" s="68"/>
      <c r="F60" s="68"/>
      <c r="G60" s="68"/>
      <c r="H60" s="68"/>
      <c r="I60" s="68"/>
      <c r="J60" s="68"/>
    </row>
    <row r="61" spans="1:10" s="546" customFormat="1" ht="24" customHeight="1">
      <c r="A61" s="97" t="s">
        <v>201</v>
      </c>
      <c r="B61" s="103" t="s">
        <v>46</v>
      </c>
      <c r="C61" s="104"/>
      <c r="D61" s="104"/>
      <c r="E61" s="104"/>
      <c r="F61" s="104"/>
      <c r="G61" s="105"/>
      <c r="H61" s="105"/>
      <c r="I61" s="82">
        <v>39813</v>
      </c>
      <c r="J61" s="82" t="s">
        <v>19</v>
      </c>
    </row>
    <row r="62" spans="1:10" ht="19.5" customHeight="1">
      <c r="A62" s="42"/>
      <c r="B62" s="85" t="s">
        <v>304</v>
      </c>
      <c r="C62" s="44"/>
      <c r="D62" s="44"/>
      <c r="E62" s="86"/>
      <c r="F62" s="86"/>
      <c r="G62" s="87"/>
      <c r="H62" s="87"/>
      <c r="I62" s="76">
        <f>163188353+149382320</f>
        <v>312570673</v>
      </c>
      <c r="J62" s="76">
        <v>3917582049</v>
      </c>
    </row>
    <row r="63" spans="1:10" ht="19.5" customHeight="1">
      <c r="A63" s="42"/>
      <c r="B63" s="85" t="s">
        <v>305</v>
      </c>
      <c r="C63" s="44"/>
      <c r="D63" s="44"/>
      <c r="E63" s="86"/>
      <c r="F63" s="86"/>
      <c r="G63" s="89"/>
      <c r="H63" s="89"/>
      <c r="I63" s="84">
        <f>3118127153+14350955</f>
        <v>3132478108</v>
      </c>
      <c r="J63" s="84">
        <v>101653307</v>
      </c>
    </row>
    <row r="64" spans="1:10" ht="18" customHeight="1" hidden="1">
      <c r="A64" s="42"/>
      <c r="B64" s="44"/>
      <c r="C64" s="72" t="s">
        <v>306</v>
      </c>
      <c r="D64" s="86"/>
      <c r="E64" s="86"/>
      <c r="F64" s="86"/>
      <c r="G64" s="89"/>
      <c r="H64" s="89"/>
      <c r="I64" s="50"/>
      <c r="J64" s="88"/>
    </row>
    <row r="65" spans="1:10" ht="21.75" customHeight="1" thickBot="1">
      <c r="A65" s="54"/>
      <c r="B65" s="90"/>
      <c r="C65" s="91"/>
      <c r="D65" s="92" t="s">
        <v>296</v>
      </c>
      <c r="E65" s="91"/>
      <c r="F65" s="91"/>
      <c r="G65" s="93"/>
      <c r="H65" s="93"/>
      <c r="I65" s="94">
        <f>SUM(I62:I64)</f>
        <v>3445048781</v>
      </c>
      <c r="J65" s="94">
        <f>SUM(J62:J64)</f>
        <v>4019235356</v>
      </c>
    </row>
    <row r="66" spans="1:10" ht="15" customHeight="1" thickTop="1">
      <c r="A66" s="54"/>
      <c r="B66" s="53"/>
      <c r="C66" s="86"/>
      <c r="D66" s="95"/>
      <c r="E66" s="86"/>
      <c r="F66" s="86"/>
      <c r="G66" s="89"/>
      <c r="H66" s="89"/>
      <c r="I66" s="96"/>
      <c r="J66" s="96"/>
    </row>
    <row r="67" spans="1:10" ht="21.75" customHeight="1">
      <c r="A67" s="97" t="s">
        <v>254</v>
      </c>
      <c r="B67" s="98" t="s">
        <v>280</v>
      </c>
      <c r="C67" s="79"/>
      <c r="D67" s="99"/>
      <c r="E67" s="79"/>
      <c r="F67" s="79"/>
      <c r="G67" s="100"/>
      <c r="H67" s="100"/>
      <c r="I67" s="82">
        <v>39813</v>
      </c>
      <c r="J67" s="83">
        <v>39447</v>
      </c>
    </row>
    <row r="68" spans="1:10" ht="18.75" customHeight="1">
      <c r="A68" s="42"/>
      <c r="B68" s="72" t="s">
        <v>211</v>
      </c>
      <c r="C68" s="44"/>
      <c r="D68" s="86"/>
      <c r="E68" s="86"/>
      <c r="F68" s="86"/>
      <c r="G68" s="101"/>
      <c r="H68" s="861">
        <f>13982310832+14882178466</f>
        <v>28864489298</v>
      </c>
      <c r="I68" s="861"/>
      <c r="J68" s="59">
        <v>35188203198</v>
      </c>
    </row>
    <row r="69" spans="1:10" ht="18.75" customHeight="1">
      <c r="A69" s="42"/>
      <c r="B69" s="72" t="s">
        <v>338</v>
      </c>
      <c r="C69" s="44"/>
      <c r="D69" s="86"/>
      <c r="E69" s="86"/>
      <c r="F69" s="86"/>
      <c r="G69" s="101"/>
      <c r="H69" s="101"/>
      <c r="I69" s="45">
        <f>49000005+35361063788</f>
        <v>35410063793</v>
      </c>
      <c r="J69" s="59">
        <v>4020399389</v>
      </c>
    </row>
    <row r="70" spans="1:10" ht="19.5" customHeight="1" thickBot="1">
      <c r="A70" s="42"/>
      <c r="B70" s="90"/>
      <c r="C70" s="91"/>
      <c r="D70" s="92" t="s">
        <v>296</v>
      </c>
      <c r="E70" s="91"/>
      <c r="F70" s="91"/>
      <c r="G70" s="93"/>
      <c r="H70" s="860">
        <f>H68+I69</f>
        <v>64274553091</v>
      </c>
      <c r="I70" s="860"/>
      <c r="J70" s="94">
        <f>SUM(J67:J69)</f>
        <v>39208642034</v>
      </c>
    </row>
    <row r="71" spans="1:10" ht="15" customHeight="1" thickTop="1">
      <c r="A71" s="54"/>
      <c r="B71" s="53"/>
      <c r="C71" s="86"/>
      <c r="D71" s="95"/>
      <c r="E71" s="86"/>
      <c r="F71" s="86"/>
      <c r="G71" s="89"/>
      <c r="H71" s="89"/>
      <c r="I71" s="96"/>
      <c r="J71" s="96"/>
    </row>
    <row r="72" spans="1:10" s="546" customFormat="1" ht="24" customHeight="1">
      <c r="A72" s="97" t="s">
        <v>204</v>
      </c>
      <c r="B72" s="103" t="s">
        <v>281</v>
      </c>
      <c r="C72" s="104"/>
      <c r="D72" s="104"/>
      <c r="E72" s="104"/>
      <c r="F72" s="104"/>
      <c r="G72" s="105"/>
      <c r="H72" s="105"/>
      <c r="I72" s="82">
        <v>39813</v>
      </c>
      <c r="J72" s="83">
        <v>39447</v>
      </c>
    </row>
    <row r="73" spans="1:10" s="546" customFormat="1" ht="19.5" customHeight="1" hidden="1">
      <c r="A73" s="108"/>
      <c r="B73" s="109" t="s">
        <v>282</v>
      </c>
      <c r="C73" s="107"/>
      <c r="D73" s="110"/>
      <c r="E73" s="110"/>
      <c r="F73" s="110"/>
      <c r="G73" s="111"/>
      <c r="H73" s="111"/>
      <c r="I73" s="112"/>
      <c r="J73" s="112"/>
    </row>
    <row r="74" spans="1:10" s="546" customFormat="1" ht="19.5" customHeight="1" hidden="1">
      <c r="A74" s="108"/>
      <c r="B74" s="109" t="s">
        <v>283</v>
      </c>
      <c r="C74" s="107"/>
      <c r="D74" s="110"/>
      <c r="E74" s="110"/>
      <c r="F74" s="110"/>
      <c r="G74" s="111"/>
      <c r="H74" s="111"/>
      <c r="I74" s="112"/>
      <c r="J74" s="112"/>
    </row>
    <row r="75" spans="1:10" s="546" customFormat="1" ht="19.5" customHeight="1">
      <c r="A75" s="108"/>
      <c r="B75" s="109" t="s">
        <v>284</v>
      </c>
      <c r="C75" s="107"/>
      <c r="D75" s="110"/>
      <c r="E75" s="110"/>
      <c r="F75" s="110"/>
      <c r="G75" s="111"/>
      <c r="H75" s="111"/>
      <c r="I75" s="112">
        <f>SUM(I77:I81)</f>
        <v>2567332889</v>
      </c>
      <c r="J75" s="112">
        <f>SUM(J77:J81)</f>
        <v>649288189</v>
      </c>
    </row>
    <row r="76" spans="1:10" s="546" customFormat="1" ht="18" customHeight="1">
      <c r="A76" s="108"/>
      <c r="B76" s="113"/>
      <c r="C76" s="107"/>
      <c r="D76" s="114" t="s">
        <v>361</v>
      </c>
      <c r="E76" s="110"/>
      <c r="F76" s="110"/>
      <c r="G76" s="111"/>
      <c r="H76" s="111"/>
      <c r="I76" s="115"/>
      <c r="J76" s="115">
        <v>0</v>
      </c>
    </row>
    <row r="77" spans="1:10" s="546" customFormat="1" ht="18" customHeight="1">
      <c r="A77" s="108"/>
      <c r="B77" s="113"/>
      <c r="C77" s="107"/>
      <c r="D77" s="114" t="s">
        <v>362</v>
      </c>
      <c r="E77" s="110"/>
      <c r="F77" s="110"/>
      <c r="G77" s="111"/>
      <c r="H77" s="111"/>
      <c r="I77" s="115">
        <v>0</v>
      </c>
      <c r="J77" s="115">
        <v>180482512</v>
      </c>
    </row>
    <row r="78" spans="1:10" s="546" customFormat="1" ht="18" customHeight="1">
      <c r="A78" s="108"/>
      <c r="B78" s="113"/>
      <c r="C78" s="107"/>
      <c r="D78" s="114" t="s">
        <v>363</v>
      </c>
      <c r="E78" s="110"/>
      <c r="F78" s="110"/>
      <c r="G78" s="111"/>
      <c r="H78" s="111"/>
      <c r="I78" s="115">
        <f>1361987322+215903290</f>
        <v>1577890612</v>
      </c>
      <c r="J78" s="115">
        <v>210476407</v>
      </c>
    </row>
    <row r="79" spans="1:10" s="546" customFormat="1" ht="18" customHeight="1">
      <c r="A79" s="108"/>
      <c r="B79" s="113"/>
      <c r="C79" s="107"/>
      <c r="D79" s="114" t="s">
        <v>364</v>
      </c>
      <c r="E79" s="110"/>
      <c r="F79" s="110"/>
      <c r="G79" s="111"/>
      <c r="H79" s="111"/>
      <c r="I79" s="115">
        <v>0</v>
      </c>
      <c r="J79" s="115">
        <v>113116500</v>
      </c>
    </row>
    <row r="80" spans="1:10" s="546" customFormat="1" ht="18" customHeight="1">
      <c r="A80" s="108"/>
      <c r="B80" s="113"/>
      <c r="C80" s="107"/>
      <c r="D80" s="114" t="s">
        <v>122</v>
      </c>
      <c r="E80" s="110"/>
      <c r="F80" s="110"/>
      <c r="G80" s="111"/>
      <c r="H80" s="111"/>
      <c r="I80" s="115">
        <v>0</v>
      </c>
      <c r="J80" s="115">
        <v>81095840</v>
      </c>
    </row>
    <row r="81" spans="1:10" s="546" customFormat="1" ht="18" customHeight="1">
      <c r="A81" s="108"/>
      <c r="B81" s="113"/>
      <c r="C81" s="107"/>
      <c r="D81" s="114" t="s">
        <v>368</v>
      </c>
      <c r="E81" s="110"/>
      <c r="F81" s="110"/>
      <c r="G81" s="111"/>
      <c r="H81" s="111"/>
      <c r="I81" s="115">
        <f>958722277+30720000</f>
        <v>989442277</v>
      </c>
      <c r="J81" s="112">
        <v>64116930</v>
      </c>
    </row>
    <row r="82" spans="1:10" s="546" customFormat="1" ht="18.75" customHeight="1" thickBot="1">
      <c r="A82" s="108"/>
      <c r="B82" s="117"/>
      <c r="C82" s="118"/>
      <c r="D82" s="119" t="s">
        <v>296</v>
      </c>
      <c r="E82" s="118"/>
      <c r="F82" s="118"/>
      <c r="G82" s="120"/>
      <c r="H82" s="120"/>
      <c r="I82" s="121">
        <f>I75</f>
        <v>2567332889</v>
      </c>
      <c r="J82" s="121">
        <f>J75</f>
        <v>649288189</v>
      </c>
    </row>
    <row r="83" spans="1:10" ht="15" customHeight="1" thickTop="1">
      <c r="A83" s="42"/>
      <c r="B83" s="53"/>
      <c r="C83" s="86"/>
      <c r="D83" s="95"/>
      <c r="E83" s="86"/>
      <c r="F83" s="86"/>
      <c r="G83" s="89"/>
      <c r="H83" s="89"/>
      <c r="I83" s="96" t="s">
        <v>474</v>
      </c>
      <c r="J83" s="96"/>
    </row>
    <row r="84" spans="1:10" ht="15" customHeight="1">
      <c r="A84" s="42"/>
      <c r="B84" s="53"/>
      <c r="C84" s="86"/>
      <c r="D84" s="95"/>
      <c r="E84" s="86"/>
      <c r="F84" s="86"/>
      <c r="G84" s="89"/>
      <c r="H84" s="89"/>
      <c r="I84" s="96"/>
      <c r="J84" s="96"/>
    </row>
    <row r="85" spans="1:10" ht="15" customHeight="1">
      <c r="A85" s="42"/>
      <c r="B85" s="53"/>
      <c r="C85" s="86"/>
      <c r="D85" s="95"/>
      <c r="E85" s="86"/>
      <c r="F85" s="86"/>
      <c r="G85" s="89"/>
      <c r="H85" s="89"/>
      <c r="I85" s="96"/>
      <c r="J85" s="96"/>
    </row>
    <row r="86" spans="1:10" ht="19.5" customHeight="1">
      <c r="A86" s="77" t="s">
        <v>205</v>
      </c>
      <c r="B86" s="98" t="s">
        <v>297</v>
      </c>
      <c r="C86" s="79"/>
      <c r="D86" s="79"/>
      <c r="E86" s="79"/>
      <c r="F86" s="79"/>
      <c r="G86" s="125"/>
      <c r="H86" s="125"/>
      <c r="I86" s="82">
        <v>39813</v>
      </c>
      <c r="J86" s="83">
        <v>39447</v>
      </c>
    </row>
    <row r="87" spans="1:10" ht="3.75" customHeight="1">
      <c r="A87" s="42"/>
      <c r="B87" s="44"/>
      <c r="C87" s="72"/>
      <c r="D87" s="86"/>
      <c r="E87" s="86"/>
      <c r="F87" s="86"/>
      <c r="G87" s="101"/>
      <c r="H87" s="101"/>
      <c r="I87" s="45"/>
      <c r="J87" s="59"/>
    </row>
    <row r="88" spans="1:10" ht="18.75" customHeight="1">
      <c r="A88" s="42"/>
      <c r="B88" s="72" t="s">
        <v>307</v>
      </c>
      <c r="C88" s="44"/>
      <c r="D88" s="86"/>
      <c r="E88" s="86"/>
      <c r="F88" s="86"/>
      <c r="G88" s="101"/>
      <c r="H88" s="101"/>
      <c r="I88" s="45">
        <f>970105956+609629686</f>
        <v>1579735642</v>
      </c>
      <c r="J88" s="45">
        <f>140307522+491817000</f>
        <v>632124522</v>
      </c>
    </row>
    <row r="89" spans="1:10" ht="18.75" customHeight="1">
      <c r="A89" s="42"/>
      <c r="B89" s="72" t="s">
        <v>365</v>
      </c>
      <c r="C89" s="44"/>
      <c r="D89" s="86"/>
      <c r="E89" s="86"/>
      <c r="F89" s="86"/>
      <c r="G89" s="101"/>
      <c r="H89" s="101"/>
      <c r="I89" s="45">
        <f>429248048+828682809</f>
        <v>1257930857</v>
      </c>
      <c r="J89" s="45">
        <f>427767010+490316518</f>
        <v>918083528</v>
      </c>
    </row>
    <row r="90" spans="1:10" ht="18.75" customHeight="1">
      <c r="A90" s="42"/>
      <c r="B90" s="72" t="s">
        <v>366</v>
      </c>
      <c r="C90" s="44"/>
      <c r="D90" s="86"/>
      <c r="E90" s="86"/>
      <c r="F90" s="86"/>
      <c r="G90" s="101"/>
      <c r="H90" s="101"/>
      <c r="I90" s="45">
        <f>220899057+448446125</f>
        <v>669345182</v>
      </c>
      <c r="J90" s="45">
        <f>22683803+64446147</f>
        <v>87129950</v>
      </c>
    </row>
    <row r="91" spans="1:10" ht="18.75" customHeight="1">
      <c r="A91" s="42"/>
      <c r="B91" s="72" t="s">
        <v>308</v>
      </c>
      <c r="C91" s="44"/>
      <c r="D91" s="86"/>
      <c r="E91" s="86"/>
      <c r="F91" s="86"/>
      <c r="G91" s="101"/>
      <c r="H91" s="101"/>
      <c r="I91" s="45">
        <f>8768687945+8028735601+98000000</f>
        <v>16895423546</v>
      </c>
      <c r="J91" s="45">
        <f>5538414067+13844367535</f>
        <v>19382781602</v>
      </c>
    </row>
    <row r="92" spans="1:10" ht="3.75" customHeight="1">
      <c r="A92" s="42"/>
      <c r="B92" s="72"/>
      <c r="C92" s="44"/>
      <c r="D92" s="86"/>
      <c r="E92" s="86"/>
      <c r="F92" s="86"/>
      <c r="G92" s="101"/>
      <c r="H92" s="101"/>
      <c r="I92" s="45"/>
      <c r="J92" s="34"/>
    </row>
    <row r="93" spans="1:10" ht="24" customHeight="1" thickBot="1">
      <c r="A93" s="42"/>
      <c r="B93" s="126"/>
      <c r="C93" s="126"/>
      <c r="D93" s="126" t="s">
        <v>298</v>
      </c>
      <c r="E93" s="126"/>
      <c r="F93" s="127"/>
      <c r="G93" s="127"/>
      <c r="H93" s="858">
        <f>I91+I90+I89+I88</f>
        <v>20402435227</v>
      </c>
      <c r="I93" s="858"/>
      <c r="J93" s="128">
        <f>SUM(J88:J92)</f>
        <v>21020119602</v>
      </c>
    </row>
    <row r="94" spans="1:10" ht="15" customHeight="1" thickTop="1">
      <c r="A94" s="42"/>
      <c r="B94" s="53"/>
      <c r="C94" s="86"/>
      <c r="D94" s="95"/>
      <c r="E94" s="86"/>
      <c r="F94" s="86"/>
      <c r="G94" s="89"/>
      <c r="H94" s="89"/>
      <c r="I94" s="96"/>
      <c r="J94" s="96"/>
    </row>
    <row r="95" spans="1:10" ht="18" customHeight="1">
      <c r="A95" s="129" t="s">
        <v>206</v>
      </c>
      <c r="B95" s="98" t="s">
        <v>387</v>
      </c>
      <c r="C95" s="79"/>
      <c r="D95" s="79"/>
      <c r="E95" s="79"/>
      <c r="F95" s="79"/>
      <c r="G95" s="125"/>
      <c r="H95" s="125"/>
      <c r="I95" s="82">
        <v>39813</v>
      </c>
      <c r="J95" s="83">
        <v>39447</v>
      </c>
    </row>
    <row r="96" spans="1:10" ht="18.75" customHeight="1">
      <c r="A96" s="42"/>
      <c r="B96" s="72" t="s">
        <v>436</v>
      </c>
      <c r="C96" s="44"/>
      <c r="D96" s="86"/>
      <c r="E96" s="86"/>
      <c r="F96" s="86"/>
      <c r="G96" s="101"/>
      <c r="H96" s="101"/>
      <c r="I96" s="45">
        <v>1727903878</v>
      </c>
      <c r="J96" s="34">
        <v>1024157892</v>
      </c>
    </row>
    <row r="97" spans="1:10" ht="18.75" customHeight="1">
      <c r="A97" s="42"/>
      <c r="B97" s="72" t="s">
        <v>435</v>
      </c>
      <c r="C97" s="44"/>
      <c r="D97" s="86"/>
      <c r="E97" s="86"/>
      <c r="F97" s="86"/>
      <c r="G97" s="101"/>
      <c r="H97" s="101"/>
      <c r="I97" s="45">
        <v>0</v>
      </c>
      <c r="J97" s="34">
        <v>0</v>
      </c>
    </row>
    <row r="98" spans="1:10" ht="18.75" customHeight="1">
      <c r="A98" s="42"/>
      <c r="B98" s="85" t="s">
        <v>47</v>
      </c>
      <c r="C98" s="53"/>
      <c r="D98" s="86"/>
      <c r="E98" s="86"/>
      <c r="F98" s="86"/>
      <c r="G98" s="101"/>
      <c r="H98" s="101"/>
      <c r="I98" s="549">
        <f>317698228+16924558</f>
        <v>334622786</v>
      </c>
      <c r="J98" s="34">
        <v>0</v>
      </c>
    </row>
    <row r="99" spans="1:10" ht="18.75" customHeight="1">
      <c r="A99" s="42"/>
      <c r="B99" s="85" t="s">
        <v>48</v>
      </c>
      <c r="C99" s="53"/>
      <c r="D99" s="86"/>
      <c r="E99" s="86"/>
      <c r="F99" s="86"/>
      <c r="G99" s="101"/>
      <c r="H99" s="101"/>
      <c r="I99" s="76">
        <f>110878973+116429208+8686248</f>
        <v>235994429</v>
      </c>
      <c r="J99" s="34">
        <v>116429208</v>
      </c>
    </row>
    <row r="100" spans="1:10" ht="18.75" customHeight="1">
      <c r="A100" s="42"/>
      <c r="B100" s="85" t="s">
        <v>49</v>
      </c>
      <c r="C100" s="53"/>
      <c r="D100" s="86"/>
      <c r="E100" s="86"/>
      <c r="F100" s="86"/>
      <c r="G100" s="101"/>
      <c r="H100" s="101"/>
      <c r="I100" s="76">
        <v>3000000</v>
      </c>
      <c r="J100" s="34">
        <v>19592508</v>
      </c>
    </row>
    <row r="101" spans="1:10" ht="18.75" customHeight="1" thickBot="1">
      <c r="A101" s="42"/>
      <c r="B101" s="131"/>
      <c r="C101" s="90"/>
      <c r="D101" s="119" t="s">
        <v>296</v>
      </c>
      <c r="E101" s="91"/>
      <c r="F101" s="91"/>
      <c r="G101" s="132"/>
      <c r="H101" s="132"/>
      <c r="I101" s="127">
        <f>SUM(I96:I100)</f>
        <v>2301521093</v>
      </c>
      <c r="J101" s="133">
        <f>SUM(J96:J100)</f>
        <v>1160179608</v>
      </c>
    </row>
    <row r="102" spans="1:10" ht="15" customHeight="1" thickTop="1">
      <c r="A102" s="42"/>
      <c r="B102" s="53"/>
      <c r="C102" s="86"/>
      <c r="D102" s="95"/>
      <c r="E102" s="86"/>
      <c r="F102" s="86"/>
      <c r="G102" s="89"/>
      <c r="H102" s="89"/>
      <c r="I102" s="96"/>
      <c r="J102" s="96"/>
    </row>
    <row r="103" spans="1:10" ht="21" customHeight="1">
      <c r="A103" s="77" t="s">
        <v>300</v>
      </c>
      <c r="B103" s="134" t="s">
        <v>91</v>
      </c>
      <c r="C103" s="54"/>
      <c r="D103" s="54"/>
      <c r="E103" s="54"/>
      <c r="F103" s="86"/>
      <c r="G103" s="101"/>
      <c r="H103" s="101"/>
      <c r="I103" s="76"/>
      <c r="J103" s="135"/>
    </row>
    <row r="104" spans="1:10" ht="3.75" customHeight="1">
      <c r="A104" s="77"/>
      <c r="B104" s="134"/>
      <c r="C104" s="54"/>
      <c r="D104" s="54"/>
      <c r="E104" s="54"/>
      <c r="F104" s="86"/>
      <c r="G104" s="101"/>
      <c r="H104" s="101"/>
      <c r="I104" s="76"/>
      <c r="J104" s="135"/>
    </row>
    <row r="105" spans="1:10" ht="33.75" customHeight="1">
      <c r="A105" s="136" t="s">
        <v>302</v>
      </c>
      <c r="B105" s="136"/>
      <c r="C105" s="136"/>
      <c r="D105" s="136"/>
      <c r="E105" s="136"/>
      <c r="F105" s="137" t="s">
        <v>50</v>
      </c>
      <c r="G105" s="138" t="s">
        <v>51</v>
      </c>
      <c r="H105" s="138" t="s">
        <v>52</v>
      </c>
      <c r="I105" s="138" t="s">
        <v>53</v>
      </c>
      <c r="J105" s="139" t="s">
        <v>299</v>
      </c>
    </row>
    <row r="106" spans="1:10" ht="20.25" customHeight="1">
      <c r="A106" s="140" t="s">
        <v>212</v>
      </c>
      <c r="B106" s="140"/>
      <c r="C106" s="140"/>
      <c r="D106" s="140"/>
      <c r="E106" s="140"/>
      <c r="F106" s="51"/>
      <c r="G106" s="51"/>
      <c r="H106" s="51"/>
      <c r="I106" s="141"/>
      <c r="J106" s="141"/>
    </row>
    <row r="107" spans="1:10" ht="21.75" customHeight="1">
      <c r="A107" s="142" t="s">
        <v>478</v>
      </c>
      <c r="B107" s="143"/>
      <c r="C107" s="143"/>
      <c r="D107" s="144"/>
      <c r="E107" s="145"/>
      <c r="F107" s="145">
        <v>17135322430</v>
      </c>
      <c r="G107" s="145">
        <v>19649062161</v>
      </c>
      <c r="H107" s="145">
        <v>591455292</v>
      </c>
      <c r="I107" s="145">
        <v>6101367501</v>
      </c>
      <c r="J107" s="145">
        <f>SUM(E107:I107)</f>
        <v>43477207384</v>
      </c>
    </row>
    <row r="108" spans="1:10" s="550" customFormat="1" ht="19.5" customHeight="1">
      <c r="A108" s="149" t="s">
        <v>11</v>
      </c>
      <c r="B108" s="150"/>
      <c r="C108" s="150"/>
      <c r="D108" s="151"/>
      <c r="E108" s="152"/>
      <c r="F108" s="152">
        <v>156742137</v>
      </c>
      <c r="G108" s="147"/>
      <c r="H108" s="148"/>
      <c r="I108" s="152"/>
      <c r="J108" s="148">
        <f>SUM(E108:I108)</f>
        <v>156742137</v>
      </c>
    </row>
    <row r="109" spans="1:10" s="550" customFormat="1" ht="19.5" customHeight="1" hidden="1">
      <c r="A109" s="149" t="s">
        <v>96</v>
      </c>
      <c r="B109" s="150"/>
      <c r="C109" s="150"/>
      <c r="D109" s="151"/>
      <c r="E109" s="152"/>
      <c r="F109" s="152"/>
      <c r="G109" s="153"/>
      <c r="H109" s="148"/>
      <c r="I109" s="152"/>
      <c r="J109" s="148"/>
    </row>
    <row r="110" spans="1:10" s="555" customFormat="1" ht="19.5" customHeight="1">
      <c r="A110" s="551" t="s">
        <v>423</v>
      </c>
      <c r="B110" s="552"/>
      <c r="C110" s="552"/>
      <c r="D110" s="553"/>
      <c r="E110" s="554"/>
      <c r="F110" s="554"/>
      <c r="G110" s="153"/>
      <c r="H110" s="153"/>
      <c r="I110" s="554"/>
      <c r="J110" s="153">
        <f>SUM(F110:I110)</f>
        <v>0</v>
      </c>
    </row>
    <row r="111" spans="1:10" s="555" customFormat="1" ht="19.5" customHeight="1">
      <c r="A111" s="551" t="s">
        <v>450</v>
      </c>
      <c r="B111" s="557"/>
      <c r="C111" s="557"/>
      <c r="D111" s="673"/>
      <c r="E111" s="559"/>
      <c r="F111" s="559">
        <v>2913725</v>
      </c>
      <c r="G111" s="560">
        <v>7694000</v>
      </c>
      <c r="H111" s="560"/>
      <c r="I111" s="559"/>
      <c r="J111" s="560">
        <f>SUM(F111:I111)</f>
        <v>10607725</v>
      </c>
    </row>
    <row r="112" spans="1:10" s="555" customFormat="1" ht="19.5" customHeight="1">
      <c r="A112" s="556" t="s">
        <v>96</v>
      </c>
      <c r="B112" s="557"/>
      <c r="C112" s="557"/>
      <c r="D112" s="558"/>
      <c r="E112" s="559"/>
      <c r="F112" s="754"/>
      <c r="G112" s="560"/>
      <c r="H112" s="560"/>
      <c r="I112" s="559"/>
      <c r="J112" s="560">
        <f>SUM(F112:I112)</f>
        <v>0</v>
      </c>
    </row>
    <row r="113" spans="1:10" s="555" customFormat="1" ht="19.5" customHeight="1">
      <c r="A113" s="556" t="s">
        <v>55</v>
      </c>
      <c r="B113" s="557"/>
      <c r="C113" s="557"/>
      <c r="D113" s="558"/>
      <c r="E113" s="559"/>
      <c r="F113" s="559"/>
      <c r="G113" s="560"/>
      <c r="H113" s="560"/>
      <c r="I113" s="559"/>
      <c r="J113" s="560">
        <f>SUM(F113:I113)</f>
        <v>0</v>
      </c>
    </row>
    <row r="114" spans="1:10" s="536" customFormat="1" ht="19.5" customHeight="1">
      <c r="A114" s="561" t="s">
        <v>479</v>
      </c>
      <c r="B114" s="562"/>
      <c r="C114" s="563"/>
      <c r="D114" s="564"/>
      <c r="E114" s="565"/>
      <c r="F114" s="565">
        <f>F107+F111+F112+F108-F110</f>
        <v>17294978292</v>
      </c>
      <c r="G114" s="565">
        <f>G107+G108+G111-G113</f>
        <v>19656756161</v>
      </c>
      <c r="H114" s="565">
        <f>SUM(H107:H113)</f>
        <v>591455292</v>
      </c>
      <c r="I114" s="565">
        <f>I107+I108-I110+I111</f>
        <v>6101367501</v>
      </c>
      <c r="J114" s="566">
        <f>J107+J108-J110+J111-J113</f>
        <v>43644557246</v>
      </c>
    </row>
    <row r="115" spans="1:10" s="536" customFormat="1" ht="21.75" customHeight="1">
      <c r="A115" s="567" t="s">
        <v>213</v>
      </c>
      <c r="B115" s="568"/>
      <c r="C115" s="568"/>
      <c r="D115" s="568"/>
      <c r="E115" s="568"/>
      <c r="F115" s="569"/>
      <c r="G115" s="569"/>
      <c r="H115" s="569"/>
      <c r="I115" s="569"/>
      <c r="J115" s="570"/>
    </row>
    <row r="116" spans="1:10" s="536" customFormat="1" ht="19.5" customHeight="1">
      <c r="A116" s="571" t="s">
        <v>478</v>
      </c>
      <c r="B116" s="572"/>
      <c r="C116" s="572"/>
      <c r="D116" s="573"/>
      <c r="E116" s="574"/>
      <c r="F116" s="575">
        <v>1798225905</v>
      </c>
      <c r="G116" s="575">
        <v>8001268603</v>
      </c>
      <c r="H116" s="575">
        <v>406095997</v>
      </c>
      <c r="I116" s="575">
        <v>1109850069</v>
      </c>
      <c r="J116" s="576">
        <f>SUM(E116:I116)</f>
        <v>11315440574</v>
      </c>
    </row>
    <row r="117" spans="1:10" s="536" customFormat="1" ht="18" customHeight="1">
      <c r="A117" s="577" t="s">
        <v>480</v>
      </c>
      <c r="B117" s="578"/>
      <c r="C117" s="578"/>
      <c r="D117" s="579"/>
      <c r="E117" s="580"/>
      <c r="F117" s="581">
        <f>30823206+79171326</f>
        <v>109994532</v>
      </c>
      <c r="G117" s="581">
        <f>82192663+212619682</f>
        <v>294812345</v>
      </c>
      <c r="H117" s="581">
        <f>7805522+1992717</f>
        <v>9798239</v>
      </c>
      <c r="I117" s="581">
        <f>58546868+95487896</f>
        <v>154034764</v>
      </c>
      <c r="J117" s="582">
        <f>SUM(E117:I117)</f>
        <v>568639880</v>
      </c>
    </row>
    <row r="118" spans="1:10" s="555" customFormat="1" ht="18" customHeight="1">
      <c r="A118" s="583" t="s">
        <v>423</v>
      </c>
      <c r="B118" s="584"/>
      <c r="C118" s="584"/>
      <c r="D118" s="553"/>
      <c r="E118" s="585"/>
      <c r="F118" s="153"/>
      <c r="G118" s="153"/>
      <c r="H118" s="153"/>
      <c r="I118" s="153"/>
      <c r="J118" s="153">
        <f>SUM(F118:I118)</f>
        <v>0</v>
      </c>
    </row>
    <row r="119" spans="1:10" s="555" customFormat="1" ht="19.5" customHeight="1">
      <c r="A119" s="556" t="s">
        <v>54</v>
      </c>
      <c r="B119" s="557"/>
      <c r="C119" s="557"/>
      <c r="D119" s="558"/>
      <c r="E119" s="559"/>
      <c r="F119" s="559"/>
      <c r="G119" s="560"/>
      <c r="H119" s="560"/>
      <c r="I119" s="559"/>
      <c r="J119" s="153">
        <f>SUM(F119:I119)</f>
        <v>0</v>
      </c>
    </row>
    <row r="120" spans="1:10" s="536" customFormat="1" ht="19.5" customHeight="1">
      <c r="A120" s="561" t="s">
        <v>481</v>
      </c>
      <c r="B120" s="562"/>
      <c r="C120" s="563"/>
      <c r="D120" s="564"/>
      <c r="E120" s="565"/>
      <c r="F120" s="566">
        <f>F116+F117</f>
        <v>1908220437</v>
      </c>
      <c r="G120" s="566">
        <f>G116+G117</f>
        <v>8296080948</v>
      </c>
      <c r="H120" s="566">
        <f>H116+H117</f>
        <v>415894236</v>
      </c>
      <c r="I120" s="566">
        <f>I116+I117</f>
        <v>1263884833</v>
      </c>
      <c r="J120" s="566">
        <f>SUM(J116+J117-J118-J119)</f>
        <v>11884080454</v>
      </c>
    </row>
    <row r="121" spans="1:10" s="536" customFormat="1" ht="21.75" customHeight="1">
      <c r="A121" s="567" t="s">
        <v>214</v>
      </c>
      <c r="B121" s="586"/>
      <c r="C121" s="586"/>
      <c r="D121" s="586"/>
      <c r="E121" s="586"/>
      <c r="F121" s="586"/>
      <c r="G121" s="569"/>
      <c r="H121" s="569"/>
      <c r="I121" s="569"/>
      <c r="J121" s="570"/>
    </row>
    <row r="122" spans="1:10" s="536" customFormat="1" ht="19.5" customHeight="1">
      <c r="A122" s="587" t="s">
        <v>476</v>
      </c>
      <c r="B122" s="588"/>
      <c r="C122" s="588"/>
      <c r="D122" s="48"/>
      <c r="E122" s="589"/>
      <c r="F122" s="589">
        <f>F107-F116</f>
        <v>15337096525</v>
      </c>
      <c r="G122" s="589">
        <f>G107-G116</f>
        <v>11647793558</v>
      </c>
      <c r="H122" s="589">
        <f>H107-H116</f>
        <v>185359295</v>
      </c>
      <c r="I122" s="589">
        <f>I107-I116</f>
        <v>4991517432</v>
      </c>
      <c r="J122" s="589">
        <f>J107-J116</f>
        <v>32161766810</v>
      </c>
    </row>
    <row r="123" spans="1:10" s="536" customFormat="1" ht="19.5" customHeight="1" thickBot="1">
      <c r="A123" s="590" t="s">
        <v>477</v>
      </c>
      <c r="B123" s="591"/>
      <c r="C123" s="591"/>
      <c r="D123" s="592"/>
      <c r="E123" s="593"/>
      <c r="F123" s="593">
        <f>F114-F120</f>
        <v>15386757855</v>
      </c>
      <c r="G123" s="593">
        <f>G114-G120</f>
        <v>11360675213</v>
      </c>
      <c r="H123" s="593">
        <f>H114-H120</f>
        <v>175561056</v>
      </c>
      <c r="I123" s="593">
        <f>I114-I120</f>
        <v>4837482668</v>
      </c>
      <c r="J123" s="593">
        <f>J114-J120</f>
        <v>31760476792</v>
      </c>
    </row>
    <row r="124" spans="1:10" s="536" customFormat="1" ht="19.5" customHeight="1" thickTop="1">
      <c r="A124" s="587"/>
      <c r="B124" s="588"/>
      <c r="C124" s="588"/>
      <c r="D124" s="594"/>
      <c r="E124" s="589"/>
      <c r="F124" s="589"/>
      <c r="G124" s="589"/>
      <c r="H124" s="589"/>
      <c r="I124" s="589"/>
      <c r="J124" s="589"/>
    </row>
    <row r="125" spans="1:10" s="536" customFormat="1" ht="24" customHeight="1">
      <c r="A125" s="595" t="s">
        <v>56</v>
      </c>
      <c r="B125" s="596"/>
      <c r="C125" s="596"/>
      <c r="D125" s="596"/>
      <c r="E125" s="597"/>
      <c r="F125" s="597"/>
      <c r="G125" s="597"/>
      <c r="H125" s="597"/>
      <c r="I125" s="589"/>
      <c r="J125" s="598">
        <v>2289077206</v>
      </c>
    </row>
    <row r="126" spans="1:10" s="536" customFormat="1" ht="21.75" customHeight="1">
      <c r="A126" s="595" t="s">
        <v>344</v>
      </c>
      <c r="B126" s="596"/>
      <c r="C126" s="596"/>
      <c r="D126" s="596"/>
      <c r="E126" s="597"/>
      <c r="F126" s="597"/>
      <c r="G126" s="597"/>
      <c r="H126" s="597"/>
      <c r="I126" s="589"/>
      <c r="J126" s="599">
        <v>31364127423</v>
      </c>
    </row>
    <row r="127" spans="1:10" ht="21.75" customHeight="1">
      <c r="A127" s="77" t="s">
        <v>301</v>
      </c>
      <c r="B127" s="171" t="s">
        <v>370</v>
      </c>
      <c r="C127" s="167"/>
      <c r="D127" s="167"/>
      <c r="E127" s="168"/>
      <c r="F127" s="100"/>
      <c r="G127" s="100"/>
      <c r="H127" s="100"/>
      <c r="I127" s="82">
        <v>39813</v>
      </c>
      <c r="J127" s="82" t="s">
        <v>19</v>
      </c>
    </row>
    <row r="128" spans="1:10" ht="24" customHeight="1">
      <c r="A128" s="158"/>
      <c r="B128" s="172" t="s">
        <v>371</v>
      </c>
      <c r="C128" s="173"/>
      <c r="D128" s="173"/>
      <c r="E128" s="173"/>
      <c r="F128" s="173"/>
      <c r="G128" s="173"/>
      <c r="H128" s="173"/>
      <c r="I128" s="157">
        <f>SUM(I129:I132)</f>
        <v>119694326735</v>
      </c>
      <c r="J128" s="157">
        <f>SUM(J129:J131)</f>
        <v>43136074051</v>
      </c>
    </row>
    <row r="129" spans="1:10" ht="21" customHeight="1">
      <c r="A129" s="155"/>
      <c r="B129" s="159"/>
      <c r="C129" s="156"/>
      <c r="D129" s="857" t="s">
        <v>57</v>
      </c>
      <c r="E129" s="859"/>
      <c r="F129" s="859"/>
      <c r="G129" s="859"/>
      <c r="H129" s="174"/>
      <c r="I129" s="174">
        <v>73633737441</v>
      </c>
      <c r="J129" s="174">
        <v>38707873288</v>
      </c>
    </row>
    <row r="130" spans="1:10" ht="21" customHeight="1">
      <c r="A130" s="155"/>
      <c r="B130" s="159"/>
      <c r="C130" s="156"/>
      <c r="D130" s="857" t="s">
        <v>1</v>
      </c>
      <c r="E130" s="857"/>
      <c r="F130" s="857"/>
      <c r="G130" s="857"/>
      <c r="H130" s="174"/>
      <c r="I130" s="174">
        <f>27457900421+186854577</f>
        <v>27644754998</v>
      </c>
      <c r="J130" s="174">
        <v>4341461230</v>
      </c>
    </row>
    <row r="131" spans="1:10" ht="21" customHeight="1">
      <c r="A131" s="155"/>
      <c r="B131" s="159"/>
      <c r="C131" s="156"/>
      <c r="D131" s="857" t="s">
        <v>0</v>
      </c>
      <c r="E131" s="857"/>
      <c r="F131" s="857"/>
      <c r="G131" s="857"/>
      <c r="H131" s="174"/>
      <c r="I131" s="174">
        <v>18412614296</v>
      </c>
      <c r="J131" s="174">
        <v>86739533</v>
      </c>
    </row>
    <row r="132" spans="1:10" ht="20.25" customHeight="1">
      <c r="A132" s="158"/>
      <c r="B132" s="161"/>
      <c r="C132" s="161"/>
      <c r="D132" s="857" t="s">
        <v>2</v>
      </c>
      <c r="E132" s="857"/>
      <c r="F132" s="857"/>
      <c r="G132" s="857"/>
      <c r="H132" s="161"/>
      <c r="I132" s="758">
        <v>3220000</v>
      </c>
      <c r="J132" s="162"/>
    </row>
    <row r="133" spans="1:10" s="322" customFormat="1" ht="21" customHeight="1">
      <c r="A133" s="600" t="s">
        <v>333</v>
      </c>
      <c r="B133" s="237" t="s">
        <v>58</v>
      </c>
      <c r="C133" s="601"/>
      <c r="D133" s="601"/>
      <c r="E133" s="602"/>
      <c r="F133" s="603"/>
      <c r="G133" s="604"/>
      <c r="H133" s="604"/>
      <c r="I133" s="605">
        <v>39813</v>
      </c>
      <c r="J133" s="606">
        <v>39447</v>
      </c>
    </row>
    <row r="134" spans="1:10" s="205" customFormat="1" ht="21.75" customHeight="1">
      <c r="A134" s="97"/>
      <c r="B134" s="607" t="s">
        <v>59</v>
      </c>
      <c r="C134" s="439"/>
      <c r="D134" s="439"/>
      <c r="E134" s="439"/>
      <c r="F134" s="608"/>
      <c r="G134" s="609"/>
      <c r="H134" s="325"/>
      <c r="I134" s="325"/>
      <c r="J134" s="122"/>
    </row>
    <row r="135" spans="1:10" s="205" customFormat="1" ht="19.5" customHeight="1">
      <c r="A135" s="97"/>
      <c r="B135" s="610" t="s">
        <v>3</v>
      </c>
      <c r="C135" s="610"/>
      <c r="D135" s="610"/>
      <c r="E135" s="610"/>
      <c r="F135" s="610"/>
      <c r="G135" s="611"/>
      <c r="H135" s="612"/>
      <c r="I135" s="612">
        <v>0</v>
      </c>
      <c r="J135" s="612">
        <v>67680000</v>
      </c>
    </row>
    <row r="136" spans="1:10" s="322" customFormat="1" ht="21" customHeight="1" thickBot="1">
      <c r="A136" s="299"/>
      <c r="B136" s="613"/>
      <c r="C136" s="613"/>
      <c r="D136" s="119" t="s">
        <v>296</v>
      </c>
      <c r="E136" s="613"/>
      <c r="F136" s="118"/>
      <c r="G136" s="614"/>
      <c r="H136" s="615">
        <f>H132+H135</f>
        <v>0</v>
      </c>
      <c r="I136" s="615">
        <v>0</v>
      </c>
      <c r="J136" s="615">
        <f>J132+J135</f>
        <v>67680000</v>
      </c>
    </row>
    <row r="137" spans="1:10" ht="15" customHeight="1" thickTop="1">
      <c r="A137" s="158"/>
      <c r="B137" s="161"/>
      <c r="C137" s="161"/>
      <c r="D137" s="161"/>
      <c r="E137" s="161"/>
      <c r="F137" s="161"/>
      <c r="G137" s="161"/>
      <c r="H137" s="161"/>
      <c r="I137" s="162"/>
      <c r="J137" s="162"/>
    </row>
    <row r="138" spans="1:10" ht="19.5" customHeight="1">
      <c r="A138" s="175" t="s">
        <v>373</v>
      </c>
      <c r="B138" s="171" t="s">
        <v>372</v>
      </c>
      <c r="C138" s="167"/>
      <c r="D138" s="167"/>
      <c r="E138" s="168"/>
      <c r="F138" s="100"/>
      <c r="G138" s="100"/>
      <c r="H138" s="100"/>
      <c r="I138" s="82">
        <v>39813</v>
      </c>
      <c r="J138" s="83">
        <v>39447</v>
      </c>
    </row>
    <row r="139" spans="1:10" ht="19.5" customHeight="1">
      <c r="A139" s="175"/>
      <c r="B139" s="616" t="s">
        <v>60</v>
      </c>
      <c r="C139" s="156"/>
      <c r="D139" s="156"/>
      <c r="E139" s="160"/>
      <c r="F139" s="89"/>
      <c r="G139" s="89"/>
      <c r="H139" s="89"/>
      <c r="I139" s="186"/>
      <c r="J139" s="442">
        <v>1659171659</v>
      </c>
    </row>
    <row r="140" spans="1:10" ht="24" customHeight="1">
      <c r="A140" s="155"/>
      <c r="B140" s="617" t="s">
        <v>61</v>
      </c>
      <c r="C140" s="618"/>
      <c r="D140" s="618"/>
      <c r="E140" s="619"/>
      <c r="F140" s="417"/>
      <c r="G140" s="417"/>
      <c r="H140" s="417"/>
      <c r="I140" s="417">
        <f>46347579+1453520379</f>
        <v>1499867958</v>
      </c>
      <c r="J140" s="417">
        <v>0</v>
      </c>
    </row>
    <row r="141" spans="1:10" ht="21.75" customHeight="1" thickBot="1">
      <c r="A141" s="187"/>
      <c r="B141" s="126"/>
      <c r="C141" s="126"/>
      <c r="D141" s="92" t="s">
        <v>296</v>
      </c>
      <c r="E141" s="126"/>
      <c r="F141" s="91"/>
      <c r="G141" s="132"/>
      <c r="H141" s="843">
        <f>I140</f>
        <v>1499867958</v>
      </c>
      <c r="I141" s="843">
        <f>I140</f>
        <v>1499867958</v>
      </c>
      <c r="J141" s="194">
        <f>J140+J139</f>
        <v>1659171659</v>
      </c>
    </row>
    <row r="142" spans="1:10" ht="15" customHeight="1" thickTop="1">
      <c r="A142" s="158"/>
      <c r="B142" s="161"/>
      <c r="C142" s="161"/>
      <c r="D142" s="161"/>
      <c r="E142" s="161"/>
      <c r="F142" s="161"/>
      <c r="G142" s="161"/>
      <c r="H142" s="161"/>
      <c r="I142" s="162"/>
      <c r="J142" s="162"/>
    </row>
    <row r="143" spans="1:10" ht="19.5" customHeight="1">
      <c r="A143" s="129" t="s">
        <v>420</v>
      </c>
      <c r="B143" s="177" t="s">
        <v>421</v>
      </c>
      <c r="C143" s="79"/>
      <c r="D143" s="79"/>
      <c r="E143" s="79"/>
      <c r="F143" s="178"/>
      <c r="G143" s="179"/>
      <c r="H143" s="179"/>
      <c r="I143" s="82">
        <v>39813</v>
      </c>
      <c r="J143" s="83">
        <v>39447</v>
      </c>
    </row>
    <row r="144" spans="1:10" ht="19.5" customHeight="1">
      <c r="A144" s="129"/>
      <c r="B144" s="146" t="s">
        <v>62</v>
      </c>
      <c r="C144" s="86"/>
      <c r="D144" s="86"/>
      <c r="E144" s="86"/>
      <c r="F144" s="185"/>
      <c r="G144" s="188"/>
      <c r="H144" s="188"/>
      <c r="I144" s="84">
        <f>I145+I148</f>
        <v>29149930668</v>
      </c>
      <c r="J144" s="84">
        <f>J145+J148</f>
        <v>10129064600</v>
      </c>
    </row>
    <row r="145" spans="1:10" ht="19.5" customHeight="1">
      <c r="A145" s="129"/>
      <c r="B145" s="620" t="s">
        <v>63</v>
      </c>
      <c r="C145" s="621"/>
      <c r="D145" s="622"/>
      <c r="E145" s="622"/>
      <c r="F145" s="623"/>
      <c r="G145" s="624"/>
      <c r="H145" s="624"/>
      <c r="I145" s="625">
        <f>I146+I147</f>
        <v>29149930668</v>
      </c>
      <c r="J145" s="625">
        <f>J146+J147</f>
        <v>6194298200</v>
      </c>
    </row>
    <row r="146" spans="1:10" ht="19.5" customHeight="1">
      <c r="A146" s="129"/>
      <c r="B146" s="195"/>
      <c r="C146" s="86"/>
      <c r="D146" s="199" t="s">
        <v>64</v>
      </c>
      <c r="E146" s="86"/>
      <c r="F146" s="185"/>
      <c r="G146" s="188"/>
      <c r="H146" s="188"/>
      <c r="I146" s="626">
        <v>29149930668</v>
      </c>
      <c r="J146" s="626">
        <f>3205427000</f>
        <v>3205427000</v>
      </c>
    </row>
    <row r="147" spans="1:10" ht="19.5" customHeight="1">
      <c r="A147" s="187"/>
      <c r="B147" s="620"/>
      <c r="C147" s="621"/>
      <c r="D147" s="620" t="s">
        <v>5</v>
      </c>
      <c r="E147" s="622"/>
      <c r="F147" s="623"/>
      <c r="G147" s="624"/>
      <c r="H147" s="624"/>
      <c r="I147" s="627">
        <v>0</v>
      </c>
      <c r="J147" s="627">
        <f>2978272000+10599200</f>
        <v>2988871200</v>
      </c>
    </row>
    <row r="148" spans="1:10" ht="19.5" customHeight="1">
      <c r="A148" s="129"/>
      <c r="B148" s="199" t="s">
        <v>65</v>
      </c>
      <c r="C148" s="628"/>
      <c r="D148" s="200"/>
      <c r="E148" s="200"/>
      <c r="F148" s="201"/>
      <c r="G148" s="202"/>
      <c r="H148" s="202"/>
      <c r="I148" s="629"/>
      <c r="J148" s="629">
        <v>3934766400</v>
      </c>
    </row>
    <row r="149" spans="1:10" ht="19.5" customHeight="1">
      <c r="A149" s="129"/>
      <c r="B149" s="620"/>
      <c r="C149" s="621"/>
      <c r="D149" s="620" t="s">
        <v>66</v>
      </c>
      <c r="E149" s="622"/>
      <c r="F149" s="623"/>
      <c r="G149" s="624"/>
      <c r="H149" s="624"/>
      <c r="I149" s="627"/>
      <c r="J149" s="627">
        <f>J148</f>
        <v>3934766400</v>
      </c>
    </row>
    <row r="150" spans="1:10" ht="21.75" customHeight="1" thickBot="1">
      <c r="A150" s="187"/>
      <c r="B150" s="126"/>
      <c r="C150" s="126"/>
      <c r="D150" s="92" t="s">
        <v>296</v>
      </c>
      <c r="E150" s="126"/>
      <c r="F150" s="91"/>
      <c r="G150" s="132"/>
      <c r="H150" s="843">
        <f>I148+I145</f>
        <v>29149930668</v>
      </c>
      <c r="I150" s="843" t="e">
        <f>#REF!</f>
        <v>#REF!</v>
      </c>
      <c r="J150" s="194">
        <f>J144</f>
        <v>10129064600</v>
      </c>
    </row>
    <row r="151" spans="1:10" ht="17.25" customHeight="1" thickTop="1">
      <c r="A151" s="187"/>
      <c r="B151" s="630"/>
      <c r="C151" s="630"/>
      <c r="D151" s="631"/>
      <c r="E151" s="630"/>
      <c r="F151" s="632"/>
      <c r="G151" s="633"/>
      <c r="H151" s="828"/>
      <c r="I151" s="828"/>
      <c r="J151" s="634"/>
    </row>
    <row r="152" spans="1:10" ht="19.5" customHeight="1">
      <c r="A152" s="187"/>
      <c r="B152" s="44" t="s">
        <v>12</v>
      </c>
      <c r="C152" s="86"/>
      <c r="D152" s="86"/>
      <c r="E152" s="86"/>
      <c r="F152" s="185"/>
      <c r="G152" s="188"/>
      <c r="H152" s="188"/>
      <c r="I152" s="59"/>
      <c r="J152" s="59"/>
    </row>
    <row r="153" spans="1:10" ht="19.5" customHeight="1">
      <c r="A153" s="187"/>
      <c r="B153" s="72" t="s">
        <v>458</v>
      </c>
      <c r="C153" s="86"/>
      <c r="D153" s="86"/>
      <c r="E153" s="86"/>
      <c r="F153" s="185"/>
      <c r="G153" s="188"/>
      <c r="H153" s="188"/>
      <c r="I153" s="59"/>
      <c r="J153" s="59"/>
    </row>
    <row r="154" spans="1:10" ht="19.5" customHeight="1">
      <c r="A154" s="187"/>
      <c r="B154" s="72"/>
      <c r="C154" s="86" t="s">
        <v>459</v>
      </c>
      <c r="D154" s="86"/>
      <c r="E154" s="86"/>
      <c r="F154" s="185"/>
      <c r="G154" s="188"/>
      <c r="H154" s="188"/>
      <c r="I154" s="59"/>
      <c r="J154" s="59"/>
    </row>
    <row r="155" spans="1:10" ht="10.5" customHeight="1">
      <c r="A155" s="187"/>
      <c r="B155" s="134"/>
      <c r="C155" s="134"/>
      <c r="D155" s="95"/>
      <c r="E155" s="134"/>
      <c r="F155" s="86"/>
      <c r="G155" s="101"/>
      <c r="H155" s="741"/>
      <c r="I155" s="741"/>
      <c r="J155" s="742"/>
    </row>
    <row r="156" spans="1:10" ht="19.5" customHeight="1">
      <c r="A156" s="77" t="s">
        <v>303</v>
      </c>
      <c r="B156" s="177" t="s">
        <v>285</v>
      </c>
      <c r="C156" s="79"/>
      <c r="D156" s="79"/>
      <c r="E156" s="79"/>
      <c r="F156" s="178"/>
      <c r="G156" s="179"/>
      <c r="H156" s="179"/>
      <c r="I156" s="82">
        <v>39813</v>
      </c>
      <c r="J156" s="83">
        <v>39447</v>
      </c>
    </row>
    <row r="157" spans="1:10" ht="26.25" customHeight="1">
      <c r="A157" s="77"/>
      <c r="B157" s="180" t="s">
        <v>435</v>
      </c>
      <c r="C157" s="181"/>
      <c r="D157" s="181"/>
      <c r="E157" s="181"/>
      <c r="F157" s="182"/>
      <c r="G157" s="183"/>
      <c r="H157" s="183"/>
      <c r="I157" s="759">
        <v>0</v>
      </c>
      <c r="J157" s="157"/>
    </row>
    <row r="158" spans="1:10" ht="21" customHeight="1">
      <c r="A158" s="77"/>
      <c r="B158" s="184" t="s">
        <v>97</v>
      </c>
      <c r="C158" s="86"/>
      <c r="D158" s="86"/>
      <c r="E158" s="86"/>
      <c r="F158" s="185"/>
      <c r="G158" s="186"/>
      <c r="H158" s="84"/>
      <c r="I158" s="84">
        <v>0</v>
      </c>
      <c r="J158" s="84">
        <v>145658137</v>
      </c>
    </row>
    <row r="159" spans="1:10" ht="21" customHeight="1">
      <c r="A159" s="187"/>
      <c r="B159" s="184" t="s">
        <v>4</v>
      </c>
      <c r="C159" s="44"/>
      <c r="D159" s="86"/>
      <c r="E159" s="185"/>
      <c r="F159" s="185"/>
      <c r="G159" s="188"/>
      <c r="H159" s="188"/>
      <c r="I159" s="87">
        <v>0</v>
      </c>
      <c r="J159" s="87">
        <v>0</v>
      </c>
    </row>
    <row r="160" spans="1:10" ht="19.5" customHeight="1" hidden="1">
      <c r="A160" s="187"/>
      <c r="B160" s="184" t="s">
        <v>97</v>
      </c>
      <c r="C160" s="44"/>
      <c r="D160" s="86"/>
      <c r="E160" s="185"/>
      <c r="F160" s="185"/>
      <c r="G160" s="188"/>
      <c r="H160" s="188"/>
      <c r="I160" s="59">
        <v>-28150205</v>
      </c>
      <c r="J160" s="59">
        <v>241991151</v>
      </c>
    </row>
    <row r="161" spans="1:10" ht="19.5" customHeight="1" hidden="1">
      <c r="A161" s="187"/>
      <c r="B161" s="184" t="s">
        <v>215</v>
      </c>
      <c r="C161" s="44"/>
      <c r="D161" s="86"/>
      <c r="E161" s="185"/>
      <c r="F161" s="185"/>
      <c r="G161" s="188"/>
      <c r="H161" s="188"/>
      <c r="I161" s="59"/>
      <c r="J161" s="59"/>
    </row>
    <row r="162" spans="1:10" ht="19.5" customHeight="1" hidden="1">
      <c r="A162" s="187"/>
      <c r="B162" s="184" t="s">
        <v>98</v>
      </c>
      <c r="C162" s="44"/>
      <c r="D162" s="86"/>
      <c r="E162" s="185"/>
      <c r="F162" s="185"/>
      <c r="G162" s="188"/>
      <c r="H162" s="188"/>
      <c r="I162" s="59"/>
      <c r="J162" s="59"/>
    </row>
    <row r="163" spans="1:10" ht="19.5" customHeight="1" hidden="1">
      <c r="A163" s="187"/>
      <c r="B163" s="184" t="s">
        <v>99</v>
      </c>
      <c r="C163" s="44"/>
      <c r="D163" s="86"/>
      <c r="E163" s="185"/>
      <c r="F163" s="185"/>
      <c r="G163" s="188"/>
      <c r="H163" s="188"/>
      <c r="I163" s="59"/>
      <c r="J163" s="59"/>
    </row>
    <row r="164" spans="1:10" s="546" customFormat="1" ht="19.5" customHeight="1" hidden="1">
      <c r="A164" s="189"/>
      <c r="B164" s="190" t="s">
        <v>342</v>
      </c>
      <c r="C164" s="107"/>
      <c r="D164" s="110"/>
      <c r="E164" s="191"/>
      <c r="F164" s="191"/>
      <c r="G164" s="192"/>
      <c r="H164" s="192"/>
      <c r="I164" s="116">
        <v>41037607</v>
      </c>
      <c r="J164" s="116">
        <v>15679426</v>
      </c>
    </row>
    <row r="165" spans="1:10" ht="24" customHeight="1" thickBot="1">
      <c r="A165" s="187"/>
      <c r="B165" s="126"/>
      <c r="C165" s="126"/>
      <c r="D165" s="92" t="s">
        <v>296</v>
      </c>
      <c r="E165" s="126"/>
      <c r="F165" s="91"/>
      <c r="G165" s="132"/>
      <c r="H165" s="193"/>
      <c r="I165" s="193">
        <f>SUM(I157:I159)</f>
        <v>0</v>
      </c>
      <c r="J165" s="194">
        <f>SUM(J157:J159)</f>
        <v>145658137</v>
      </c>
    </row>
    <row r="166" spans="1:10" ht="15" customHeight="1" thickTop="1">
      <c r="A166" s="158"/>
      <c r="B166" s="161"/>
      <c r="C166" s="161"/>
      <c r="D166" s="161"/>
      <c r="E166" s="161"/>
      <c r="F166" s="161"/>
      <c r="G166" s="161"/>
      <c r="H166" s="161"/>
      <c r="I166" s="162"/>
      <c r="J166" s="162"/>
    </row>
    <row r="167" spans="1:10" ht="21" customHeight="1">
      <c r="A167" s="77" t="s">
        <v>153</v>
      </c>
      <c r="B167" s="177" t="s">
        <v>315</v>
      </c>
      <c r="C167" s="79"/>
      <c r="D167" s="79"/>
      <c r="E167" s="79"/>
      <c r="F167" s="178"/>
      <c r="G167" s="179"/>
      <c r="H167" s="179"/>
      <c r="I167" s="82">
        <v>39813</v>
      </c>
      <c r="J167" s="83">
        <v>39447</v>
      </c>
    </row>
    <row r="168" spans="1:10" ht="7.5" customHeight="1">
      <c r="A168" s="77"/>
      <c r="B168" s="195"/>
      <c r="C168" s="86"/>
      <c r="D168" s="86"/>
      <c r="E168" s="86"/>
      <c r="F168" s="185"/>
      <c r="G168" s="188"/>
      <c r="H168" s="188"/>
      <c r="I168" s="186"/>
      <c r="J168" s="186"/>
    </row>
    <row r="169" spans="1:10" ht="27" customHeight="1" hidden="1">
      <c r="A169" s="77"/>
      <c r="B169" s="196" t="s">
        <v>224</v>
      </c>
      <c r="C169" s="86"/>
      <c r="D169" s="86"/>
      <c r="E169" s="86"/>
      <c r="F169" s="185"/>
      <c r="G169" s="188"/>
      <c r="H169" s="188"/>
      <c r="I169" s="102"/>
      <c r="J169" s="89"/>
    </row>
    <row r="170" spans="1:10" s="546" customFormat="1" ht="27" customHeight="1" hidden="1">
      <c r="A170" s="189"/>
      <c r="B170" s="190" t="s">
        <v>287</v>
      </c>
      <c r="C170" s="197"/>
      <c r="D170" s="110"/>
      <c r="E170" s="110"/>
      <c r="F170" s="191"/>
      <c r="G170" s="192"/>
      <c r="H170" s="192"/>
      <c r="I170" s="198"/>
      <c r="J170" s="198"/>
    </row>
    <row r="171" spans="1:10" s="546" customFormat="1" ht="27" customHeight="1" hidden="1">
      <c r="A171" s="189"/>
      <c r="B171" s="190" t="s">
        <v>286</v>
      </c>
      <c r="C171" s="197"/>
      <c r="D171" s="110"/>
      <c r="E171" s="110"/>
      <c r="F171" s="191"/>
      <c r="G171" s="192"/>
      <c r="H171" s="192"/>
      <c r="I171" s="198"/>
      <c r="J171" s="198"/>
    </row>
    <row r="172" spans="1:10" s="546" customFormat="1" ht="18" customHeight="1">
      <c r="A172" s="189"/>
      <c r="B172" s="184" t="s">
        <v>224</v>
      </c>
      <c r="C172" s="197"/>
      <c r="D172" s="110"/>
      <c r="E172" s="110"/>
      <c r="F172" s="191"/>
      <c r="G172" s="192"/>
      <c r="H172" s="192"/>
      <c r="I172" s="198">
        <f>16371969+29859300</f>
        <v>46231269</v>
      </c>
      <c r="J172" s="198">
        <f>21175901+13103190</f>
        <v>34279091</v>
      </c>
    </row>
    <row r="173" spans="1:10" s="546" customFormat="1" ht="19.5" customHeight="1">
      <c r="A173" s="189"/>
      <c r="B173" s="184" t="s">
        <v>375</v>
      </c>
      <c r="C173" s="197"/>
      <c r="D173" s="110"/>
      <c r="E173" s="110"/>
      <c r="F173" s="191"/>
      <c r="G173" s="192"/>
      <c r="H173" s="192"/>
      <c r="I173" s="198">
        <f>76954357+9590264+38973291</f>
        <v>125517912</v>
      </c>
      <c r="J173" s="198">
        <f>61420899+49146961</f>
        <v>110567860</v>
      </c>
    </row>
    <row r="174" spans="1:10" ht="19.5" customHeight="1">
      <c r="A174" s="187"/>
      <c r="B174" s="184" t="s">
        <v>374</v>
      </c>
      <c r="C174" s="53"/>
      <c r="D174" s="86"/>
      <c r="E174" s="86"/>
      <c r="F174" s="185"/>
      <c r="G174" s="188"/>
      <c r="H174" s="188"/>
      <c r="I174" s="135">
        <v>50000</v>
      </c>
      <c r="J174" s="135">
        <v>50000</v>
      </c>
    </row>
    <row r="175" spans="1:10" ht="19.5" customHeight="1">
      <c r="A175" s="187"/>
      <c r="B175" s="184" t="s">
        <v>437</v>
      </c>
      <c r="C175" s="44"/>
      <c r="D175" s="199"/>
      <c r="E175" s="200"/>
      <c r="F175" s="201"/>
      <c r="G175" s="202"/>
      <c r="H175" s="202"/>
      <c r="I175" s="59">
        <v>0</v>
      </c>
      <c r="J175" s="59">
        <v>53270000</v>
      </c>
    </row>
    <row r="176" spans="1:10" ht="19.5" customHeight="1">
      <c r="A176" s="635"/>
      <c r="B176" s="829" t="s">
        <v>438</v>
      </c>
      <c r="C176" s="829"/>
      <c r="D176" s="829"/>
      <c r="E176" s="829"/>
      <c r="F176" s="829"/>
      <c r="G176" s="636"/>
      <c r="H176" s="636"/>
      <c r="I176" s="637">
        <v>600000</v>
      </c>
      <c r="J176" s="637">
        <v>600000</v>
      </c>
    </row>
    <row r="177" spans="1:10" ht="19.5" customHeight="1">
      <c r="A177" s="187"/>
      <c r="B177" s="184" t="s">
        <v>376</v>
      </c>
      <c r="C177" s="44"/>
      <c r="D177" s="199"/>
      <c r="E177" s="200"/>
      <c r="F177" s="201"/>
      <c r="G177" s="202"/>
      <c r="H177" s="202"/>
      <c r="I177" s="59">
        <v>0</v>
      </c>
      <c r="J177" s="59">
        <f>SUM(J178:J179)</f>
        <v>296720000</v>
      </c>
    </row>
    <row r="178" spans="1:10" ht="19.5" customHeight="1">
      <c r="A178" s="187"/>
      <c r="B178" s="184"/>
      <c r="C178" s="638" t="s">
        <v>67</v>
      </c>
      <c r="D178" s="199"/>
      <c r="E178" s="200"/>
      <c r="F178" s="201"/>
      <c r="G178" s="202"/>
      <c r="H178" s="202"/>
      <c r="I178" s="154">
        <v>0</v>
      </c>
      <c r="J178" s="154">
        <v>296720000</v>
      </c>
    </row>
    <row r="179" spans="1:10" ht="19.5" customHeight="1">
      <c r="A179" s="187"/>
      <c r="B179" s="184"/>
      <c r="C179" s="638" t="s">
        <v>368</v>
      </c>
      <c r="D179" s="199"/>
      <c r="E179" s="200"/>
      <c r="F179" s="201"/>
      <c r="G179" s="202"/>
      <c r="H179" s="202"/>
      <c r="I179" s="743"/>
      <c r="J179" s="106"/>
    </row>
    <row r="180" spans="1:10" ht="24" customHeight="1" thickBot="1">
      <c r="A180" s="187"/>
      <c r="B180" s="126"/>
      <c r="C180" s="126"/>
      <c r="D180" s="92" t="s">
        <v>296</v>
      </c>
      <c r="E180" s="126"/>
      <c r="F180" s="91"/>
      <c r="G180" s="132"/>
      <c r="H180" s="132"/>
      <c r="I180" s="193">
        <f>SUM(I172:I177)</f>
        <v>172399181</v>
      </c>
      <c r="J180" s="194">
        <f>SUM(J172:J177)</f>
        <v>495486951</v>
      </c>
    </row>
    <row r="181" spans="1:10" ht="15" customHeight="1" thickTop="1">
      <c r="A181" s="187"/>
      <c r="B181" s="44"/>
      <c r="C181" s="86"/>
      <c r="D181" s="86"/>
      <c r="E181" s="86"/>
      <c r="F181" s="185"/>
      <c r="G181" s="188"/>
      <c r="H181" s="188"/>
      <c r="I181" s="59"/>
      <c r="J181" s="59"/>
    </row>
    <row r="182" spans="1:10" ht="19.5" customHeight="1">
      <c r="A182" s="175">
        <v>20</v>
      </c>
      <c r="B182" s="171" t="s">
        <v>460</v>
      </c>
      <c r="C182" s="167"/>
      <c r="D182" s="167"/>
      <c r="E182" s="168"/>
      <c r="F182" s="100"/>
      <c r="G182" s="100"/>
      <c r="H182" s="100"/>
      <c r="I182" s="82">
        <v>39813</v>
      </c>
      <c r="J182" s="83">
        <v>39447</v>
      </c>
    </row>
    <row r="183" spans="1:10" ht="24" customHeight="1">
      <c r="A183" s="155"/>
      <c r="B183" s="744" t="s">
        <v>461</v>
      </c>
      <c r="C183" s="745"/>
      <c r="D183" s="745"/>
      <c r="E183" s="746"/>
      <c r="F183" s="747"/>
      <c r="G183" s="747"/>
      <c r="H183" s="747"/>
      <c r="I183" s="747">
        <f>SUM(I184:I187)</f>
        <v>47019096100</v>
      </c>
      <c r="J183" s="747">
        <f>J185+J184</f>
        <v>8793363779</v>
      </c>
    </row>
    <row r="184" spans="1:10" ht="24" customHeight="1">
      <c r="A184" s="155"/>
      <c r="C184" s="156"/>
      <c r="D184" s="172" t="s">
        <v>462</v>
      </c>
      <c r="E184" s="160"/>
      <c r="F184" s="89"/>
      <c r="G184" s="89"/>
      <c r="H184" s="89"/>
      <c r="I184" s="89"/>
      <c r="J184" s="89">
        <v>632000000</v>
      </c>
    </row>
    <row r="185" spans="1:10" ht="24" customHeight="1">
      <c r="A185" s="155"/>
      <c r="B185" s="172"/>
      <c r="C185" s="156"/>
      <c r="D185" s="748" t="s">
        <v>463</v>
      </c>
      <c r="E185" s="160"/>
      <c r="F185" s="89"/>
      <c r="G185" s="89"/>
      <c r="H185" s="89"/>
      <c r="I185" s="89">
        <v>758412500</v>
      </c>
      <c r="J185" s="89">
        <v>8161363779</v>
      </c>
    </row>
    <row r="186" spans="1:10" ht="24" customHeight="1">
      <c r="A186" s="155"/>
      <c r="B186" s="172"/>
      <c r="C186" s="156"/>
      <c r="D186" s="748" t="s">
        <v>464</v>
      </c>
      <c r="E186" s="160"/>
      <c r="F186" s="89"/>
      <c r="G186" s="89"/>
      <c r="H186" s="89"/>
      <c r="I186" s="89">
        <v>19771176600</v>
      </c>
      <c r="J186" s="89"/>
    </row>
    <row r="187" spans="1:10" ht="24" customHeight="1">
      <c r="A187" s="155"/>
      <c r="B187" s="172"/>
      <c r="C187" s="156"/>
      <c r="D187" s="748" t="s">
        <v>465</v>
      </c>
      <c r="E187" s="160"/>
      <c r="F187" s="89"/>
      <c r="G187" s="89"/>
      <c r="H187" s="89"/>
      <c r="I187" s="89">
        <v>26489507000</v>
      </c>
      <c r="J187" s="89"/>
    </row>
    <row r="188" spans="1:10" ht="24" customHeight="1" thickBot="1">
      <c r="A188" s="187"/>
      <c r="B188" s="126"/>
      <c r="C188" s="126"/>
      <c r="D188" s="92" t="s">
        <v>296</v>
      </c>
      <c r="E188" s="126"/>
      <c r="F188" s="91"/>
      <c r="G188" s="132"/>
      <c r="H188" s="843">
        <f>I183</f>
        <v>47019096100</v>
      </c>
      <c r="I188" s="843">
        <f>I183</f>
        <v>47019096100</v>
      </c>
      <c r="J188" s="194">
        <f>J183</f>
        <v>8793363779</v>
      </c>
    </row>
    <row r="189" spans="1:10" ht="19.5" customHeight="1" thickTop="1">
      <c r="A189" s="187"/>
      <c r="B189" s="44"/>
      <c r="C189" s="86"/>
      <c r="D189" s="86"/>
      <c r="E189" s="86"/>
      <c r="F189" s="185"/>
      <c r="G189" s="188"/>
      <c r="H189" s="188"/>
      <c r="I189" s="59"/>
      <c r="J189" s="59"/>
    </row>
    <row r="190" spans="1:10" ht="19.5" customHeight="1">
      <c r="A190" s="187"/>
      <c r="B190" s="44" t="s">
        <v>466</v>
      </c>
      <c r="C190" s="86"/>
      <c r="D190" s="86"/>
      <c r="E190" s="86"/>
      <c r="F190" s="185"/>
      <c r="G190" s="188"/>
      <c r="H190" s="188"/>
      <c r="I190" s="59"/>
      <c r="J190" s="59"/>
    </row>
    <row r="191" spans="1:10" ht="19.5" customHeight="1">
      <c r="A191" s="187"/>
      <c r="B191" s="72" t="s">
        <v>467</v>
      </c>
      <c r="C191" s="86"/>
      <c r="D191" s="86"/>
      <c r="E191" s="86"/>
      <c r="F191" s="185"/>
      <c r="G191" s="188"/>
      <c r="H191" s="188"/>
      <c r="I191" s="59"/>
      <c r="J191" s="59"/>
    </row>
    <row r="192" spans="1:10" ht="19.5" customHeight="1">
      <c r="A192" s="187"/>
      <c r="B192" s="44" t="s">
        <v>7</v>
      </c>
      <c r="C192" s="86"/>
      <c r="D192" s="86"/>
      <c r="E192" s="86"/>
      <c r="F192" s="185"/>
      <c r="G192" s="188"/>
      <c r="H192" s="188"/>
      <c r="I192" s="59"/>
      <c r="J192" s="59"/>
    </row>
    <row r="193" spans="1:10" ht="19.5" customHeight="1">
      <c r="A193" s="187"/>
      <c r="B193" s="72" t="s">
        <v>8</v>
      </c>
      <c r="C193" s="86"/>
      <c r="D193" s="86"/>
      <c r="E193" s="86"/>
      <c r="F193" s="185"/>
      <c r="G193" s="188"/>
      <c r="H193" s="188"/>
      <c r="I193" s="59"/>
      <c r="J193" s="59"/>
    </row>
    <row r="194" spans="1:10" ht="19.5" customHeight="1">
      <c r="A194" s="187"/>
      <c r="B194" s="44" t="s">
        <v>9</v>
      </c>
      <c r="C194" s="86"/>
      <c r="D194" s="86"/>
      <c r="E194" s="86"/>
      <c r="F194" s="185"/>
      <c r="G194" s="188"/>
      <c r="H194" s="188"/>
      <c r="I194" s="59"/>
      <c r="J194" s="59"/>
    </row>
    <row r="195" spans="1:10" ht="19.5" customHeight="1">
      <c r="A195" s="187"/>
      <c r="B195" s="44"/>
      <c r="C195" s="86"/>
      <c r="D195" s="86"/>
      <c r="E195" s="86"/>
      <c r="F195" s="185"/>
      <c r="G195" s="188"/>
      <c r="H195" s="188"/>
      <c r="I195" s="59"/>
      <c r="J195" s="59"/>
    </row>
    <row r="196" spans="1:10" ht="19.5" customHeight="1">
      <c r="A196" s="187"/>
      <c r="B196" s="44" t="s">
        <v>453</v>
      </c>
      <c r="C196" s="86"/>
      <c r="D196" s="86"/>
      <c r="E196" s="86"/>
      <c r="F196" s="185"/>
      <c r="G196" s="188"/>
      <c r="H196" s="188"/>
      <c r="I196" s="59"/>
      <c r="J196" s="59"/>
    </row>
    <row r="197" spans="1:10" ht="19.5" customHeight="1">
      <c r="A197" s="187"/>
      <c r="B197" s="72" t="s">
        <v>454</v>
      </c>
      <c r="C197" s="86"/>
      <c r="D197" s="86"/>
      <c r="E197" s="86"/>
      <c r="F197" s="185"/>
      <c r="G197" s="188"/>
      <c r="H197" s="188"/>
      <c r="I197" s="59"/>
      <c r="J197" s="59"/>
    </row>
    <row r="198" spans="1:10" ht="19.5" customHeight="1">
      <c r="A198" s="187"/>
      <c r="B198" s="72"/>
      <c r="C198" s="86" t="s">
        <v>455</v>
      </c>
      <c r="D198" s="86"/>
      <c r="E198" s="86"/>
      <c r="F198" s="185"/>
      <c r="G198" s="188"/>
      <c r="H198" s="188"/>
      <c r="I198" s="59"/>
      <c r="J198" s="59"/>
    </row>
    <row r="199" spans="1:10" ht="19.5" customHeight="1">
      <c r="A199" s="187"/>
      <c r="B199" s="72" t="s">
        <v>456</v>
      </c>
      <c r="C199" s="86"/>
      <c r="D199" s="86"/>
      <c r="E199" s="86"/>
      <c r="F199" s="185"/>
      <c r="G199" s="188"/>
      <c r="H199" s="188"/>
      <c r="I199" s="59"/>
      <c r="J199" s="59"/>
    </row>
    <row r="200" spans="1:10" ht="19.5" customHeight="1">
      <c r="A200" s="187"/>
      <c r="B200" s="44" t="s">
        <v>457</v>
      </c>
      <c r="C200" s="86"/>
      <c r="D200" s="86"/>
      <c r="E200" s="86"/>
      <c r="F200" s="185"/>
      <c r="G200" s="188"/>
      <c r="H200" s="188"/>
      <c r="I200" s="59"/>
      <c r="J200" s="59"/>
    </row>
    <row r="201" spans="1:10" ht="19.5" customHeight="1">
      <c r="A201" s="187"/>
      <c r="B201" s="44"/>
      <c r="C201" s="86"/>
      <c r="D201" s="86"/>
      <c r="E201" s="86"/>
      <c r="F201" s="185"/>
      <c r="G201" s="188"/>
      <c r="H201" s="188"/>
      <c r="I201" s="59"/>
      <c r="J201" s="59"/>
    </row>
    <row r="202" spans="1:10" ht="19.5" customHeight="1">
      <c r="A202" s="187"/>
      <c r="B202" s="44"/>
      <c r="C202" s="44" t="s">
        <v>10</v>
      </c>
      <c r="D202" s="86"/>
      <c r="E202" s="86"/>
      <c r="F202" s="185"/>
      <c r="G202" s="188"/>
      <c r="H202" s="188"/>
      <c r="I202" s="59"/>
      <c r="J202" s="59"/>
    </row>
    <row r="203" spans="1:10" ht="19.5" customHeight="1">
      <c r="A203" s="187"/>
      <c r="B203" s="44"/>
      <c r="C203" s="72" t="s">
        <v>13</v>
      </c>
      <c r="D203" s="86"/>
      <c r="E203" s="86"/>
      <c r="F203" s="185"/>
      <c r="G203" s="188"/>
      <c r="H203" s="188"/>
      <c r="I203" s="59"/>
      <c r="J203" s="59"/>
    </row>
    <row r="204" spans="1:10" ht="19.5" customHeight="1">
      <c r="A204" s="187"/>
      <c r="B204" s="44"/>
      <c r="C204" s="72" t="s">
        <v>14</v>
      </c>
      <c r="D204" s="86"/>
      <c r="E204" s="86"/>
      <c r="F204" s="185"/>
      <c r="G204" s="188"/>
      <c r="H204" s="188"/>
      <c r="I204" s="59"/>
      <c r="J204" s="59"/>
    </row>
    <row r="205" spans="1:10" ht="15" customHeight="1">
      <c r="A205" s="187"/>
      <c r="B205" s="44"/>
      <c r="C205" s="86"/>
      <c r="D205" s="86"/>
      <c r="E205" s="86"/>
      <c r="F205" s="185"/>
      <c r="G205" s="188"/>
      <c r="H205" s="188"/>
      <c r="I205" s="59"/>
      <c r="J205" s="59"/>
    </row>
    <row r="206" spans="1:10" s="546" customFormat="1" ht="21.75" customHeight="1">
      <c r="A206" s="97" t="s">
        <v>288</v>
      </c>
      <c r="B206" s="206" t="s">
        <v>100</v>
      </c>
      <c r="C206" s="110"/>
      <c r="D206" s="110"/>
      <c r="E206" s="110"/>
      <c r="F206" s="207"/>
      <c r="G206" s="192"/>
      <c r="H206" s="192"/>
      <c r="I206" s="116"/>
      <c r="J206" s="116"/>
    </row>
    <row r="207" spans="1:10" s="546" customFormat="1" ht="21.75" customHeight="1">
      <c r="A207" s="208" t="s">
        <v>321</v>
      </c>
      <c r="B207" s="209" t="s">
        <v>345</v>
      </c>
      <c r="C207" s="107"/>
      <c r="D207" s="110"/>
      <c r="E207" s="110"/>
      <c r="F207" s="207"/>
      <c r="G207" s="192"/>
      <c r="H207" s="192"/>
      <c r="I207" s="116"/>
      <c r="J207" s="116"/>
    </row>
    <row r="208" spans="2:10" s="546" customFormat="1" ht="54" customHeight="1">
      <c r="B208" s="814" t="s">
        <v>166</v>
      </c>
      <c r="C208" s="814"/>
      <c r="D208" s="814"/>
      <c r="E208" s="814"/>
      <c r="F208" s="210" t="s">
        <v>68</v>
      </c>
      <c r="G208" s="210" t="s">
        <v>69</v>
      </c>
      <c r="H208" s="210" t="s">
        <v>70</v>
      </c>
      <c r="I208" s="210" t="s">
        <v>169</v>
      </c>
      <c r="J208" s="640" t="s">
        <v>349</v>
      </c>
    </row>
    <row r="209" spans="1:10" s="546" customFormat="1" ht="1.5" customHeight="1">
      <c r="A209" s="211"/>
      <c r="B209" s="110"/>
      <c r="C209" s="110"/>
      <c r="D209" s="197"/>
      <c r="E209" s="213"/>
      <c r="F209" s="212"/>
      <c r="G209" s="214"/>
      <c r="H209" s="214"/>
      <c r="I209" s="207"/>
      <c r="J209" s="215"/>
    </row>
    <row r="210" spans="2:10" s="641" customFormat="1" ht="36" customHeight="1">
      <c r="B210" s="846" t="s">
        <v>71</v>
      </c>
      <c r="C210" s="847"/>
      <c r="D210" s="847"/>
      <c r="E210" s="847"/>
      <c r="F210" s="216">
        <v>84703500000</v>
      </c>
      <c r="G210" s="216">
        <v>58558245765</v>
      </c>
      <c r="H210" s="216">
        <v>5487848558</v>
      </c>
      <c r="I210" s="216">
        <v>2045000000</v>
      </c>
      <c r="J210" s="216">
        <v>8024426814</v>
      </c>
    </row>
    <row r="211" spans="2:10" s="546" customFormat="1" ht="18.75" customHeight="1">
      <c r="B211" s="211" t="s">
        <v>15</v>
      </c>
      <c r="C211" s="218"/>
      <c r="D211" s="218"/>
      <c r="E211" s="218"/>
      <c r="F211" s="212">
        <v>0</v>
      </c>
      <c r="G211" s="219"/>
      <c r="H211" s="212"/>
      <c r="I211" s="220"/>
      <c r="J211" s="220"/>
    </row>
    <row r="212" spans="2:10" s="546" customFormat="1" ht="18.75" customHeight="1">
      <c r="B212" s="848" t="s">
        <v>16</v>
      </c>
      <c r="C212" s="848"/>
      <c r="D212" s="848"/>
      <c r="E212" s="848"/>
      <c r="F212" s="848"/>
      <c r="G212" s="219"/>
      <c r="H212" s="212">
        <v>0</v>
      </c>
      <c r="I212" s="220">
        <v>0</v>
      </c>
      <c r="J212" s="220">
        <f>-I212-H212</f>
        <v>0</v>
      </c>
    </row>
    <row r="213" spans="2:10" s="546" customFormat="1" ht="18" customHeight="1">
      <c r="B213" s="211" t="s">
        <v>72</v>
      </c>
      <c r="C213" s="218"/>
      <c r="D213" s="218"/>
      <c r="E213" s="218"/>
      <c r="F213" s="212"/>
      <c r="G213" s="212"/>
      <c r="H213" s="212"/>
      <c r="I213" s="220"/>
      <c r="J213" s="220">
        <f>KQKD!E22</f>
        <v>2249037614</v>
      </c>
    </row>
    <row r="214" spans="2:10" s="546" customFormat="1" ht="18" customHeight="1">
      <c r="B214" s="211" t="s">
        <v>473</v>
      </c>
      <c r="C214" s="218"/>
      <c r="D214" s="218"/>
      <c r="E214" s="218"/>
      <c r="F214" s="212"/>
      <c r="G214" s="212"/>
      <c r="H214" s="212"/>
      <c r="I214" s="220"/>
      <c r="J214" s="220">
        <v>-3217408000</v>
      </c>
    </row>
    <row r="215" spans="2:10" ht="18" customHeight="1">
      <c r="B215" s="211" t="s">
        <v>6</v>
      </c>
      <c r="G215" s="760"/>
      <c r="J215" s="220">
        <v>0</v>
      </c>
    </row>
    <row r="216" spans="2:10" s="546" customFormat="1" ht="18" customHeight="1">
      <c r="B216" s="849" t="s">
        <v>73</v>
      </c>
      <c r="C216" s="849"/>
      <c r="D216" s="849"/>
      <c r="E216" s="849"/>
      <c r="F216" s="850"/>
      <c r="G216" s="212"/>
      <c r="H216" s="212"/>
      <c r="I216" s="220"/>
      <c r="J216" s="220">
        <v>0</v>
      </c>
    </row>
    <row r="217" spans="1:10" s="546" customFormat="1" ht="21.75" customHeight="1" thickBot="1">
      <c r="A217" s="642"/>
      <c r="B217" s="643" t="s">
        <v>90</v>
      </c>
      <c r="C217" s="221"/>
      <c r="D217" s="221"/>
      <c r="E217" s="222"/>
      <c r="F217" s="223">
        <f>F210+F211</f>
        <v>84703500000</v>
      </c>
      <c r="G217" s="223">
        <f>G210-G215</f>
        <v>58558245765</v>
      </c>
      <c r="H217" s="223">
        <f>SUM(H210:H216)</f>
        <v>5487848558</v>
      </c>
      <c r="I217" s="223">
        <f>SUM(I210:I216)</f>
        <v>2045000000</v>
      </c>
      <c r="J217" s="223">
        <f>SUM(J210:J216)</f>
        <v>7056056428</v>
      </c>
    </row>
    <row r="218" spans="1:10" s="546" customFormat="1" ht="17.25" customHeight="1" thickTop="1">
      <c r="A218" s="642"/>
      <c r="B218" s="644"/>
      <c r="C218" s="645"/>
      <c r="D218" s="645"/>
      <c r="E218" s="646"/>
      <c r="F218" s="647"/>
      <c r="G218" s="647"/>
      <c r="H218" s="647"/>
      <c r="I218" s="647"/>
      <c r="J218" s="648"/>
    </row>
    <row r="219" spans="2:10" s="226" customFormat="1" ht="42" customHeight="1">
      <c r="B219" s="826" t="s">
        <v>74</v>
      </c>
      <c r="C219" s="827"/>
      <c r="D219" s="827"/>
      <c r="E219" s="827"/>
      <c r="F219" s="827"/>
      <c r="G219" s="827"/>
      <c r="H219" s="827"/>
      <c r="I219" s="827"/>
      <c r="J219" s="827"/>
    </row>
    <row r="220" spans="1:10" s="649" customFormat="1" ht="18" customHeight="1">
      <c r="A220" s="224"/>
      <c r="B220" s="224"/>
      <c r="C220" s="224"/>
      <c r="D220" s="224"/>
      <c r="E220" s="224"/>
      <c r="F220" s="224"/>
      <c r="G220" s="225"/>
      <c r="H220" s="225"/>
      <c r="I220" s="123"/>
      <c r="J220" s="123"/>
    </row>
    <row r="221" spans="1:10" s="649" customFormat="1" ht="19.5" customHeight="1">
      <c r="A221" s="208" t="s">
        <v>320</v>
      </c>
      <c r="B221" s="209" t="s">
        <v>101</v>
      </c>
      <c r="C221" s="226"/>
      <c r="D221" s="110"/>
      <c r="E221" s="110"/>
      <c r="F221" s="226"/>
      <c r="G221" s="227"/>
      <c r="H221" s="227"/>
      <c r="I221" s="82">
        <v>39813</v>
      </c>
      <c r="J221" s="83">
        <v>39447</v>
      </c>
    </row>
    <row r="222" spans="1:10" s="649" customFormat="1" ht="3.75" customHeight="1">
      <c r="A222" s="277"/>
      <c r="B222" s="228"/>
      <c r="C222" s="228"/>
      <c r="D222" s="228"/>
      <c r="E222" s="228"/>
      <c r="F222" s="229"/>
      <c r="G222" s="229"/>
      <c r="H222" s="229"/>
      <c r="I222" s="229"/>
      <c r="J222" s="229"/>
    </row>
    <row r="223" spans="2:10" s="649" customFormat="1" ht="19.5" customHeight="1">
      <c r="B223" s="230" t="s">
        <v>377</v>
      </c>
      <c r="C223" s="224"/>
      <c r="D223" s="224"/>
      <c r="E223" s="224"/>
      <c r="F223" s="231"/>
      <c r="G223" s="231"/>
      <c r="H223" s="231"/>
      <c r="I223" s="231">
        <v>13162500000</v>
      </c>
      <c r="J223" s="231">
        <v>8437500000</v>
      </c>
    </row>
    <row r="224" spans="2:10" s="649" customFormat="1" ht="19.5" customHeight="1">
      <c r="B224" s="230" t="s">
        <v>378</v>
      </c>
      <c r="C224" s="224"/>
      <c r="D224" s="224"/>
      <c r="E224" s="224"/>
      <c r="F224" s="231"/>
      <c r="G224" s="231"/>
      <c r="I224" s="650">
        <v>42745200000</v>
      </c>
      <c r="J224" s="650">
        <v>27909755000</v>
      </c>
    </row>
    <row r="225" spans="2:10" s="649" customFormat="1" ht="19.5" customHeight="1">
      <c r="B225" s="230" t="s">
        <v>379</v>
      </c>
      <c r="C225" s="224"/>
      <c r="D225" s="224"/>
      <c r="E225" s="224"/>
      <c r="F225" s="231"/>
      <c r="G225" s="231"/>
      <c r="I225" s="650">
        <v>28795800000</v>
      </c>
      <c r="J225" s="650">
        <v>18136300000</v>
      </c>
    </row>
    <row r="226" spans="2:10" s="649" customFormat="1" ht="19.5" customHeight="1">
      <c r="B226" s="230" t="s">
        <v>380</v>
      </c>
      <c r="C226" s="224"/>
      <c r="D226" s="224"/>
      <c r="E226" s="224"/>
      <c r="F226" s="231"/>
      <c r="G226" s="231"/>
      <c r="I226" s="438">
        <v>58558245765</v>
      </c>
      <c r="J226" s="438">
        <v>42096692432</v>
      </c>
    </row>
    <row r="227" spans="1:10" s="649" customFormat="1" ht="21.75" customHeight="1" thickBot="1">
      <c r="A227" s="651"/>
      <c r="B227" s="232"/>
      <c r="C227" s="232"/>
      <c r="D227" s="232" t="s">
        <v>296</v>
      </c>
      <c r="E227" s="232"/>
      <c r="F227" s="233"/>
      <c r="G227" s="233"/>
      <c r="H227" s="233"/>
      <c r="I227" s="233">
        <f>SUM(I223:I226)</f>
        <v>143261745765</v>
      </c>
      <c r="J227" s="233">
        <f>SUM(J223:J226)</f>
        <v>96580247432</v>
      </c>
    </row>
    <row r="228" spans="1:10" s="649" customFormat="1" ht="15" customHeight="1" thickTop="1">
      <c r="A228" s="224"/>
      <c r="B228" s="224"/>
      <c r="C228" s="209"/>
      <c r="D228" s="224"/>
      <c r="E228" s="224"/>
      <c r="F228" s="234"/>
      <c r="G228" s="234"/>
      <c r="H228" s="234"/>
      <c r="I228" s="235"/>
      <c r="J228" s="235"/>
    </row>
    <row r="229" spans="1:10" s="654" customFormat="1" ht="19.5" customHeight="1">
      <c r="A229" s="236" t="s">
        <v>322</v>
      </c>
      <c r="B229" s="237" t="s">
        <v>316</v>
      </c>
      <c r="C229" s="238"/>
      <c r="D229" s="238"/>
      <c r="E229" s="238"/>
      <c r="F229" s="238"/>
      <c r="G229" s="238"/>
      <c r="H229" s="238"/>
      <c r="I229" s="652">
        <v>39813</v>
      </c>
      <c r="J229" s="653">
        <v>39447</v>
      </c>
    </row>
    <row r="230" spans="1:10" s="654" customFormat="1" ht="3.75" customHeight="1">
      <c r="A230" s="240"/>
      <c r="B230" s="241"/>
      <c r="C230" s="242"/>
      <c r="D230" s="242"/>
      <c r="E230" s="242"/>
      <c r="F230" s="242"/>
      <c r="G230" s="242"/>
      <c r="H230" s="242"/>
      <c r="I230" s="243"/>
      <c r="J230" s="243"/>
    </row>
    <row r="231" spans="1:10" s="649" customFormat="1" ht="18" customHeight="1">
      <c r="A231" s="110"/>
      <c r="B231" s="190" t="s">
        <v>157</v>
      </c>
      <c r="C231" s="209"/>
      <c r="D231" s="110"/>
      <c r="E231" s="110"/>
      <c r="F231" s="244"/>
      <c r="G231" s="244"/>
      <c r="H231" s="244"/>
      <c r="I231" s="213">
        <f>F217</f>
        <v>84703500000</v>
      </c>
      <c r="J231" s="213">
        <f>J235</f>
        <v>54483550000</v>
      </c>
    </row>
    <row r="232" spans="1:10" s="654" customFormat="1" ht="18" customHeight="1">
      <c r="A232" s="224"/>
      <c r="B232" s="245"/>
      <c r="C232" s="246" t="s">
        <v>317</v>
      </c>
      <c r="D232" s="247"/>
      <c r="E232" s="247"/>
      <c r="F232" s="248"/>
      <c r="G232" s="248"/>
      <c r="I232" s="249">
        <v>84703500000</v>
      </c>
      <c r="J232" s="249">
        <v>30000000000</v>
      </c>
    </row>
    <row r="233" spans="1:10" s="654" customFormat="1" ht="18" customHeight="1">
      <c r="A233" s="224"/>
      <c r="B233" s="245"/>
      <c r="C233" s="246" t="s">
        <v>381</v>
      </c>
      <c r="D233" s="247"/>
      <c r="E233" s="247"/>
      <c r="F233" s="248"/>
      <c r="G233" s="248"/>
      <c r="I233" s="249">
        <f>F211</f>
        <v>0</v>
      </c>
      <c r="J233" s="249">
        <v>24483550000</v>
      </c>
    </row>
    <row r="234" spans="1:10" s="654" customFormat="1" ht="18" customHeight="1" hidden="1">
      <c r="A234" s="224"/>
      <c r="B234" s="245"/>
      <c r="C234" s="246" t="s">
        <v>75</v>
      </c>
      <c r="D234" s="247"/>
      <c r="E234" s="247"/>
      <c r="F234" s="248"/>
      <c r="G234" s="248"/>
      <c r="H234" s="248"/>
      <c r="I234" s="249"/>
      <c r="J234" s="249"/>
    </row>
    <row r="235" spans="1:10" s="654" customFormat="1" ht="18" customHeight="1">
      <c r="A235" s="224"/>
      <c r="B235" s="224"/>
      <c r="C235" s="246" t="s">
        <v>318</v>
      </c>
      <c r="D235" s="247"/>
      <c r="E235" s="247"/>
      <c r="F235" s="248"/>
      <c r="G235" s="248"/>
      <c r="I235" s="249">
        <f>I232+I233</f>
        <v>84703500000</v>
      </c>
      <c r="J235" s="250">
        <f>J232+J233</f>
        <v>54483550000</v>
      </c>
    </row>
    <row r="236" spans="1:10" s="649" customFormat="1" ht="18" customHeight="1">
      <c r="A236" s="224"/>
      <c r="B236" s="230" t="s">
        <v>382</v>
      </c>
      <c r="C236" s="209"/>
      <c r="D236" s="224"/>
      <c r="E236" s="224"/>
      <c r="F236" s="234"/>
      <c r="G236" s="234"/>
      <c r="I236" s="251">
        <v>0</v>
      </c>
      <c r="J236" s="757">
        <v>1102452000</v>
      </c>
    </row>
    <row r="237" spans="1:10" s="649" customFormat="1" ht="3.75" customHeight="1" thickBot="1">
      <c r="A237" s="252"/>
      <c r="B237" s="253"/>
      <c r="C237" s="253"/>
      <c r="D237" s="253"/>
      <c r="E237" s="253"/>
      <c r="F237" s="253"/>
      <c r="G237" s="253"/>
      <c r="H237" s="253"/>
      <c r="I237" s="253"/>
      <c r="J237" s="254"/>
    </row>
    <row r="238" spans="1:10" s="649" customFormat="1" ht="13.5" customHeight="1" thickTop="1">
      <c r="A238" s="252"/>
      <c r="B238" s="255"/>
      <c r="C238" s="255"/>
      <c r="D238" s="255"/>
      <c r="E238" s="255"/>
      <c r="F238" s="255"/>
      <c r="G238" s="255"/>
      <c r="H238" s="255"/>
      <c r="I238" s="255"/>
      <c r="J238" s="256"/>
    </row>
    <row r="239" spans="1:10" s="654" customFormat="1" ht="19.5" customHeight="1">
      <c r="A239" s="236" t="s">
        <v>323</v>
      </c>
      <c r="B239" s="237" t="s">
        <v>383</v>
      </c>
      <c r="C239" s="238"/>
      <c r="D239" s="238"/>
      <c r="E239" s="238"/>
      <c r="F239" s="238"/>
      <c r="G239" s="238"/>
      <c r="H239" s="238"/>
      <c r="I239" s="239" t="s">
        <v>17</v>
      </c>
      <c r="J239" s="239" t="s">
        <v>25</v>
      </c>
    </row>
    <row r="240" spans="1:10" s="654" customFormat="1" ht="19.5" customHeight="1">
      <c r="A240" s="236"/>
      <c r="B240" s="257" t="s">
        <v>384</v>
      </c>
      <c r="C240" s="242"/>
      <c r="D240" s="242"/>
      <c r="E240" s="242"/>
      <c r="F240" s="242"/>
      <c r="G240" s="242"/>
      <c r="H240" s="242"/>
      <c r="I240" s="258"/>
      <c r="J240" s="258"/>
    </row>
    <row r="241" spans="1:10" s="655" customFormat="1" ht="18" customHeight="1" thickBot="1">
      <c r="A241" s="240"/>
      <c r="B241" s="259"/>
      <c r="C241" s="260" t="s">
        <v>446</v>
      </c>
      <c r="D241" s="261"/>
      <c r="E241" s="261"/>
      <c r="F241" s="261"/>
      <c r="G241" s="261"/>
      <c r="H241" s="261"/>
      <c r="I241" s="262">
        <v>0.1</v>
      </c>
      <c r="J241" s="262">
        <v>0.12</v>
      </c>
    </row>
    <row r="242" spans="1:10" s="655" customFormat="1" ht="14.25" customHeight="1" thickTop="1">
      <c r="A242" s="240"/>
      <c r="B242" s="263"/>
      <c r="C242" s="246"/>
      <c r="D242" s="264"/>
      <c r="E242" s="264"/>
      <c r="F242" s="264"/>
      <c r="G242" s="264"/>
      <c r="H242" s="264"/>
      <c r="I242" s="265"/>
      <c r="J242" s="265"/>
    </row>
    <row r="243" spans="1:10" s="655" customFormat="1" ht="19.5" customHeight="1">
      <c r="A243" s="240" t="s">
        <v>346</v>
      </c>
      <c r="B243" s="237" t="s">
        <v>347</v>
      </c>
      <c r="C243" s="237"/>
      <c r="D243" s="237"/>
      <c r="E243" s="237"/>
      <c r="F243" s="237"/>
      <c r="G243" s="237"/>
      <c r="H243" s="237"/>
      <c r="I243" s="82">
        <v>39813</v>
      </c>
      <c r="J243" s="83">
        <v>39447</v>
      </c>
    </row>
    <row r="244" spans="1:10" s="655" customFormat="1" ht="19.5" customHeight="1">
      <c r="A244" s="240"/>
      <c r="B244" s="852" t="s">
        <v>443</v>
      </c>
      <c r="C244" s="853"/>
      <c r="D244" s="853"/>
      <c r="E244" s="853"/>
      <c r="F244" s="853"/>
      <c r="G244" s="853"/>
      <c r="H244" s="266"/>
      <c r="I244" s="320">
        <v>0</v>
      </c>
      <c r="J244" s="123">
        <v>9000000</v>
      </c>
    </row>
    <row r="245" spans="1:10" s="655" customFormat="1" ht="19.5" customHeight="1">
      <c r="A245" s="240"/>
      <c r="B245" s="854" t="s">
        <v>444</v>
      </c>
      <c r="C245" s="855"/>
      <c r="D245" s="855"/>
      <c r="E245" s="855"/>
      <c r="F245" s="855"/>
      <c r="G245" s="855"/>
      <c r="H245" s="33"/>
      <c r="I245" s="123">
        <f>I235/10000</f>
        <v>8470350</v>
      </c>
      <c r="J245" s="123">
        <f>J244</f>
        <v>9000000</v>
      </c>
    </row>
    <row r="246" spans="1:10" s="655" customFormat="1" ht="19.5" customHeight="1">
      <c r="A246" s="240"/>
      <c r="B246" s="267" t="s">
        <v>385</v>
      </c>
      <c r="C246" s="268"/>
      <c r="D246" s="268"/>
      <c r="E246" s="268"/>
      <c r="F246" s="268"/>
      <c r="G246" s="268"/>
      <c r="H246" s="269"/>
      <c r="I246" s="270">
        <f>I245</f>
        <v>8470350</v>
      </c>
      <c r="J246" s="270">
        <v>5448355</v>
      </c>
    </row>
    <row r="247" spans="1:10" s="655" customFormat="1" ht="19.5" customHeight="1">
      <c r="A247" s="240"/>
      <c r="B247" s="854" t="s">
        <v>445</v>
      </c>
      <c r="C247" s="855"/>
      <c r="D247" s="855"/>
      <c r="E247" s="855"/>
      <c r="F247" s="855"/>
      <c r="G247" s="855"/>
      <c r="H247" s="33"/>
      <c r="I247" s="123">
        <v>8469828</v>
      </c>
      <c r="J247" s="123">
        <v>5448355</v>
      </c>
    </row>
    <row r="248" spans="1:10" s="655" customFormat="1" ht="19.5" customHeight="1">
      <c r="A248" s="240"/>
      <c r="B248" s="267" t="s">
        <v>385</v>
      </c>
      <c r="C248" s="269"/>
      <c r="D248" s="269"/>
      <c r="E248" s="269"/>
      <c r="F248" s="269"/>
      <c r="G248" s="269"/>
      <c r="H248" s="269"/>
      <c r="I248" s="270">
        <f>I247</f>
        <v>8469828</v>
      </c>
      <c r="J248" s="270">
        <f>J247</f>
        <v>5448355</v>
      </c>
    </row>
    <row r="249" spans="1:10" s="655" customFormat="1" ht="19.5" customHeight="1" thickBot="1">
      <c r="A249" s="240"/>
      <c r="B249" s="856" t="s">
        <v>76</v>
      </c>
      <c r="C249" s="856"/>
      <c r="D249" s="856"/>
      <c r="E249" s="856"/>
      <c r="F249" s="856"/>
      <c r="G249" s="856"/>
      <c r="H249" s="856"/>
      <c r="I249" s="656">
        <v>10000</v>
      </c>
      <c r="J249" s="656">
        <v>10000</v>
      </c>
    </row>
    <row r="250" spans="1:10" s="655" customFormat="1" ht="13.5" customHeight="1" thickTop="1">
      <c r="A250" s="240"/>
      <c r="B250" s="271"/>
      <c r="C250" s="271"/>
      <c r="D250" s="271"/>
      <c r="E250" s="271"/>
      <c r="F250" s="271"/>
      <c r="G250" s="271"/>
      <c r="H250" s="271"/>
      <c r="I250" s="269"/>
      <c r="J250" s="269"/>
    </row>
    <row r="251" spans="1:10" s="649" customFormat="1" ht="19.5" customHeight="1">
      <c r="A251" s="236" t="s">
        <v>324</v>
      </c>
      <c r="B251" s="241" t="s">
        <v>348</v>
      </c>
      <c r="C251" s="224"/>
      <c r="D251" s="224"/>
      <c r="E251" s="224"/>
      <c r="F251" s="224"/>
      <c r="G251" s="224"/>
      <c r="H251" s="224"/>
      <c r="I251" s="272"/>
      <c r="J251" s="272"/>
    </row>
    <row r="252" spans="1:10" s="649" customFormat="1" ht="21.75" customHeight="1">
      <c r="A252" s="844" t="s">
        <v>160</v>
      </c>
      <c r="B252" s="845"/>
      <c r="C252" s="845"/>
      <c r="D252" s="845"/>
      <c r="E252" s="845"/>
      <c r="F252" s="845"/>
      <c r="G252" s="845"/>
      <c r="H252" s="845"/>
      <c r="I252" s="845"/>
      <c r="J252" s="845"/>
    </row>
    <row r="253" spans="1:10" s="649" customFormat="1" ht="19.5" customHeight="1">
      <c r="A253" s="275"/>
      <c r="B253" s="812" t="s">
        <v>422</v>
      </c>
      <c r="C253" s="813"/>
      <c r="D253" s="813"/>
      <c r="E253" s="813"/>
      <c r="F253" s="813"/>
      <c r="G253" s="813"/>
      <c r="H253" s="813"/>
      <c r="I253" s="813"/>
      <c r="J253" s="813"/>
    </row>
    <row r="254" spans="1:10" s="649" customFormat="1" ht="37.5" customHeight="1">
      <c r="A254" s="276"/>
      <c r="B254" s="812" t="s">
        <v>439</v>
      </c>
      <c r="C254" s="813"/>
      <c r="D254" s="813"/>
      <c r="E254" s="813"/>
      <c r="F254" s="813"/>
      <c r="G254" s="813"/>
      <c r="H254" s="813"/>
      <c r="I254" s="813"/>
      <c r="J254" s="813"/>
    </row>
    <row r="255" spans="1:10" s="649" customFormat="1" ht="26.25" customHeight="1">
      <c r="A255" s="276"/>
      <c r="B255" s="677"/>
      <c r="C255" s="5"/>
      <c r="D255" s="5"/>
      <c r="E255" s="5"/>
      <c r="F255" s="5"/>
      <c r="G255" s="5"/>
      <c r="H255" s="5"/>
      <c r="I255" s="5"/>
      <c r="J255" s="5"/>
    </row>
    <row r="256" spans="1:10" s="657" customFormat="1" ht="19.5" customHeight="1">
      <c r="A256" s="278" t="s">
        <v>295</v>
      </c>
      <c r="B256" s="129" t="s">
        <v>293</v>
      </c>
      <c r="C256" s="86"/>
      <c r="D256" s="86"/>
      <c r="E256" s="86"/>
      <c r="F256" s="86"/>
      <c r="G256" s="86"/>
      <c r="H256" s="86"/>
      <c r="I256" s="124"/>
      <c r="J256" s="124"/>
    </row>
    <row r="257" spans="1:10" s="657" customFormat="1" ht="21.75" customHeight="1">
      <c r="A257" s="278"/>
      <c r="B257" s="129"/>
      <c r="C257" s="86"/>
      <c r="D257" s="86"/>
      <c r="E257" s="86"/>
      <c r="F257" s="86"/>
      <c r="G257" s="86"/>
      <c r="H257" s="86"/>
      <c r="I257" s="82">
        <v>39813</v>
      </c>
      <c r="J257" s="82">
        <v>39447</v>
      </c>
    </row>
    <row r="258" spans="1:10" s="657" customFormat="1" ht="21.75" customHeight="1">
      <c r="A258" s="77" t="s">
        <v>104</v>
      </c>
      <c r="B258" s="78" t="s">
        <v>350</v>
      </c>
      <c r="C258" s="98"/>
      <c r="D258" s="79"/>
      <c r="E258" s="79"/>
      <c r="F258" s="79"/>
      <c r="G258" s="79"/>
      <c r="H258" s="280"/>
      <c r="I258" s="280">
        <f>SUM(I259:I261)</f>
        <v>58864104337</v>
      </c>
      <c r="J258" s="281">
        <f>SUM(J259:J260)</f>
        <v>46734625452</v>
      </c>
    </row>
    <row r="259" spans="1:10" s="657" customFormat="1" ht="21" customHeight="1">
      <c r="A259" s="86"/>
      <c r="B259" s="184" t="s">
        <v>77</v>
      </c>
      <c r="C259" s="282"/>
      <c r="D259" s="181"/>
      <c r="E259" s="181"/>
      <c r="F259" s="181"/>
      <c r="G259" s="181"/>
      <c r="I259" s="442">
        <f>21347561135+37403593967</f>
        <v>58751155102</v>
      </c>
      <c r="J259" s="442">
        <v>46005575736</v>
      </c>
    </row>
    <row r="260" spans="1:10" s="657" customFormat="1" ht="19.5" customHeight="1">
      <c r="A260" s="86"/>
      <c r="B260" s="184" t="s">
        <v>440</v>
      </c>
      <c r="C260" s="134"/>
      <c r="D260" s="86"/>
      <c r="E260" s="86"/>
      <c r="F260" s="86"/>
      <c r="G260" s="86"/>
      <c r="I260" s="89">
        <v>112949235</v>
      </c>
      <c r="J260" s="89">
        <v>729049716</v>
      </c>
    </row>
    <row r="261" spans="1:10" s="657" customFormat="1" ht="19.5" customHeight="1" thickBot="1">
      <c r="A261" s="86"/>
      <c r="B261" s="184" t="s">
        <v>78</v>
      </c>
      <c r="C261" s="283"/>
      <c r="D261" s="284"/>
      <c r="E261" s="284"/>
      <c r="F261" s="284"/>
      <c r="G261" s="284"/>
      <c r="H261" s="170"/>
      <c r="I261" s="170">
        <v>0</v>
      </c>
      <c r="J261" s="285"/>
    </row>
    <row r="262" spans="1:10" s="657" customFormat="1" ht="18" customHeight="1" thickTop="1">
      <c r="A262" s="274"/>
      <c r="B262" s="184"/>
      <c r="C262" s="134"/>
      <c r="D262" s="274"/>
      <c r="E262" s="274"/>
      <c r="F262" s="274"/>
      <c r="G262" s="274"/>
      <c r="H262" s="274"/>
      <c r="I262" s="293"/>
      <c r="J262" s="293"/>
    </row>
    <row r="263" spans="1:10" s="657" customFormat="1" ht="21.75" customHeight="1">
      <c r="A263" s="77" t="s">
        <v>339</v>
      </c>
      <c r="B263" s="78" t="s">
        <v>340</v>
      </c>
      <c r="C263" s="98"/>
      <c r="D263" s="79"/>
      <c r="E263" s="79"/>
      <c r="F263" s="79"/>
      <c r="G263" s="79"/>
      <c r="H263" s="79"/>
      <c r="I263" s="286">
        <f>SUM(I264:I265)</f>
        <v>910301112</v>
      </c>
      <c r="J263" s="281">
        <f>J264</f>
        <v>436566592</v>
      </c>
    </row>
    <row r="264" spans="1:10" s="657" customFormat="1" ht="21.75" customHeight="1">
      <c r="A264" s="77"/>
      <c r="B264" s="184" t="s">
        <v>341</v>
      </c>
      <c r="C264" s="134"/>
      <c r="D264" s="86"/>
      <c r="E264" s="86"/>
      <c r="F264" s="86"/>
      <c r="G264" s="86"/>
      <c r="H264" s="86"/>
      <c r="I264" s="185">
        <f>KQKD!E9</f>
        <v>910301112</v>
      </c>
      <c r="J264" s="123">
        <v>436566592</v>
      </c>
    </row>
    <row r="265" spans="1:10" s="134" customFormat="1" ht="21" customHeight="1" thickBot="1">
      <c r="A265" s="86"/>
      <c r="B265" s="658" t="s">
        <v>79</v>
      </c>
      <c r="C265" s="283"/>
      <c r="D265" s="283"/>
      <c r="E265" s="283"/>
      <c r="F265" s="283"/>
      <c r="G265" s="283"/>
      <c r="H265" s="283"/>
      <c r="I265" s="170">
        <v>0</v>
      </c>
      <c r="J265" s="283"/>
    </row>
    <row r="266" spans="1:10" s="657" customFormat="1" ht="18" customHeight="1" thickTop="1">
      <c r="A266" s="274"/>
      <c r="B266" s="184"/>
      <c r="C266" s="134"/>
      <c r="D266" s="274"/>
      <c r="E266" s="274"/>
      <c r="F266" s="274"/>
      <c r="G266" s="274"/>
      <c r="H266" s="274"/>
      <c r="I266" s="293"/>
      <c r="J266" s="293"/>
    </row>
    <row r="267" spans="1:10" s="657" customFormat="1" ht="21.75" customHeight="1">
      <c r="A267" s="77" t="s">
        <v>106</v>
      </c>
      <c r="B267" s="78" t="s">
        <v>80</v>
      </c>
      <c r="C267" s="98"/>
      <c r="D267" s="79"/>
      <c r="E267" s="79"/>
      <c r="F267" s="79"/>
      <c r="G267" s="79"/>
      <c r="H267" s="851">
        <f>SUM(H268:I270)</f>
        <v>57953803225</v>
      </c>
      <c r="I267" s="851"/>
      <c r="J267" s="281">
        <f>SUM(J268:J269)</f>
        <v>46298058860</v>
      </c>
    </row>
    <row r="268" spans="1:10" s="657" customFormat="1" ht="19.5" customHeight="1">
      <c r="A268" s="77"/>
      <c r="B268" s="184" t="s">
        <v>430</v>
      </c>
      <c r="C268" s="134"/>
      <c r="D268" s="129"/>
      <c r="E268" s="129"/>
      <c r="F268" s="129"/>
      <c r="G268" s="129"/>
      <c r="I268" s="440">
        <f>I259-I263</f>
        <v>57840853990</v>
      </c>
      <c r="J268" s="440">
        <f>J259-J264</f>
        <v>45569009144</v>
      </c>
    </row>
    <row r="269" spans="1:10" s="657" customFormat="1" ht="19.5" customHeight="1">
      <c r="A269" s="77"/>
      <c r="B269" s="184" t="s">
        <v>431</v>
      </c>
      <c r="C269" s="134"/>
      <c r="D269" s="129"/>
      <c r="E269" s="129"/>
      <c r="F269" s="129"/>
      <c r="G269" s="129"/>
      <c r="H269" s="135"/>
      <c r="I269" s="135">
        <f>I260</f>
        <v>112949235</v>
      </c>
      <c r="J269" s="135">
        <f>J260</f>
        <v>729049716</v>
      </c>
    </row>
    <row r="270" spans="1:10" s="657" customFormat="1" ht="19.5" customHeight="1" thickBot="1">
      <c r="A270" s="77"/>
      <c r="B270" s="184" t="s">
        <v>81</v>
      </c>
      <c r="C270" s="283"/>
      <c r="D270" s="288"/>
      <c r="E270" s="288"/>
      <c r="F270" s="288"/>
      <c r="G270" s="288"/>
      <c r="H270" s="441"/>
      <c r="I270" s="441">
        <f>I261</f>
        <v>0</v>
      </c>
      <c r="J270" s="441"/>
    </row>
    <row r="271" spans="1:10" s="657" customFormat="1" ht="18" customHeight="1" thickTop="1">
      <c r="A271" s="274"/>
      <c r="B271" s="184"/>
      <c r="C271" s="134"/>
      <c r="D271" s="274"/>
      <c r="E271" s="274"/>
      <c r="F271" s="274"/>
      <c r="G271" s="274"/>
      <c r="H271" s="274"/>
      <c r="I271" s="293"/>
      <c r="J271" s="293"/>
    </row>
    <row r="272" spans="1:10" s="657" customFormat="1" ht="21.75" customHeight="1">
      <c r="A272" s="77" t="s">
        <v>109</v>
      </c>
      <c r="B272" s="78" t="s">
        <v>103</v>
      </c>
      <c r="C272" s="98"/>
      <c r="D272" s="79"/>
      <c r="E272" s="79"/>
      <c r="F272" s="79"/>
      <c r="G272" s="79"/>
      <c r="H272" s="79"/>
      <c r="I272" s="82">
        <v>39813</v>
      </c>
      <c r="J272" s="82">
        <v>39447</v>
      </c>
    </row>
    <row r="273" spans="1:10" s="657" customFormat="1" ht="19.5" customHeight="1">
      <c r="A273" s="289"/>
      <c r="B273" s="184" t="s">
        <v>351</v>
      </c>
      <c r="C273" s="134"/>
      <c r="D273" s="86"/>
      <c r="E273" s="86"/>
      <c r="F273" s="86"/>
      <c r="G273" s="86"/>
      <c r="H273" s="124"/>
      <c r="I273" s="124">
        <f>KQKD!E11</f>
        <v>50817211389</v>
      </c>
      <c r="J273" s="124">
        <v>40324918261</v>
      </c>
    </row>
    <row r="274" spans="1:10" s="657" customFormat="1" ht="18" customHeight="1">
      <c r="A274" s="86"/>
      <c r="B274" s="184" t="s">
        <v>82</v>
      </c>
      <c r="C274" s="134"/>
      <c r="D274" s="184"/>
      <c r="E274" s="86"/>
      <c r="F274" s="86"/>
      <c r="G274" s="86"/>
      <c r="H274" s="86"/>
      <c r="I274" s="124">
        <v>0</v>
      </c>
      <c r="J274" s="123"/>
    </row>
    <row r="275" spans="1:10" s="657" customFormat="1" ht="19.5" customHeight="1" thickBot="1">
      <c r="A275" s="274"/>
      <c r="B275" s="290"/>
      <c r="C275" s="291"/>
      <c r="D275" s="92" t="s">
        <v>296</v>
      </c>
      <c r="E275" s="290"/>
      <c r="F275" s="290"/>
      <c r="G275" s="290"/>
      <c r="H275" s="818">
        <f>SUM(I273:I274)</f>
        <v>50817211389</v>
      </c>
      <c r="I275" s="818"/>
      <c r="J275" s="292">
        <f>J273</f>
        <v>40324918261</v>
      </c>
    </row>
    <row r="276" spans="1:10" s="657" customFormat="1" ht="18" customHeight="1" thickTop="1">
      <c r="A276" s="274"/>
      <c r="B276" s="184"/>
      <c r="C276" s="134"/>
      <c r="D276" s="274"/>
      <c r="E276" s="274"/>
      <c r="F276" s="274"/>
      <c r="G276" s="274"/>
      <c r="H276" s="274"/>
      <c r="I276" s="293"/>
      <c r="J276" s="293"/>
    </row>
    <row r="277" spans="1:10" s="657" customFormat="1" ht="21.75" customHeight="1">
      <c r="A277" s="77" t="s">
        <v>291</v>
      </c>
      <c r="B277" s="78" t="s">
        <v>102</v>
      </c>
      <c r="C277" s="98"/>
      <c r="D277" s="79"/>
      <c r="E277" s="79"/>
      <c r="F277" s="79"/>
      <c r="G277" s="79"/>
      <c r="H277" s="79"/>
      <c r="I277" s="82">
        <v>39813</v>
      </c>
      <c r="J277" s="82">
        <v>39447</v>
      </c>
    </row>
    <row r="278" spans="1:10" s="657" customFormat="1" ht="19.5" customHeight="1">
      <c r="A278" s="289"/>
      <c r="B278" s="184" t="s">
        <v>105</v>
      </c>
      <c r="C278" s="134"/>
      <c r="D278" s="184"/>
      <c r="E278" s="86"/>
      <c r="F278" s="86"/>
      <c r="G278" s="86"/>
      <c r="H278" s="86"/>
      <c r="I278" s="84">
        <v>692980</v>
      </c>
      <c r="J278" s="84">
        <v>179523201</v>
      </c>
    </row>
    <row r="279" spans="1:10" s="657" customFormat="1" ht="19.5" customHeight="1">
      <c r="A279" s="289"/>
      <c r="B279" s="184" t="s">
        <v>432</v>
      </c>
      <c r="C279" s="134"/>
      <c r="D279" s="184"/>
      <c r="E279" s="86"/>
      <c r="F279" s="86"/>
      <c r="G279" s="86"/>
      <c r="H279" s="86"/>
      <c r="I279" s="84">
        <v>0</v>
      </c>
      <c r="J279" s="84">
        <v>0</v>
      </c>
    </row>
    <row r="280" spans="1:10" s="657" customFormat="1" ht="19.5" customHeight="1">
      <c r="A280" s="289"/>
      <c r="B280" s="184" t="s">
        <v>441</v>
      </c>
      <c r="C280" s="134"/>
      <c r="D280" s="184"/>
      <c r="E280" s="86"/>
      <c r="F280" s="86"/>
      <c r="G280" s="86"/>
      <c r="H280" s="86"/>
      <c r="I280" s="84">
        <f>401935794+94696491+7222534</f>
        <v>503854819</v>
      </c>
      <c r="J280" s="296">
        <v>22939013</v>
      </c>
    </row>
    <row r="281" spans="1:10" s="657" customFormat="1" ht="19.5" customHeight="1">
      <c r="A281" s="289"/>
      <c r="B281" s="184" t="s">
        <v>442</v>
      </c>
      <c r="C281" s="134"/>
      <c r="D281" s="273"/>
      <c r="E281" s="274"/>
      <c r="F281" s="274"/>
      <c r="G281" s="274"/>
      <c r="H281" s="274"/>
      <c r="J281" s="296">
        <v>0</v>
      </c>
    </row>
    <row r="282" spans="1:10" s="657" customFormat="1" ht="19.5" customHeight="1">
      <c r="A282" s="289"/>
      <c r="B282" s="659" t="s">
        <v>83</v>
      </c>
      <c r="C282" s="660"/>
      <c r="D282" s="661"/>
      <c r="E282" s="321"/>
      <c r="F282" s="321"/>
      <c r="G282" s="274"/>
      <c r="H282" s="274"/>
      <c r="I282" s="84">
        <v>0</v>
      </c>
      <c r="J282" s="295">
        <v>0</v>
      </c>
    </row>
    <row r="283" spans="1:10" s="657" customFormat="1" ht="19.5" customHeight="1">
      <c r="A283" s="289"/>
      <c r="B283" s="659" t="s">
        <v>84</v>
      </c>
      <c r="C283" s="660"/>
      <c r="D283" s="661"/>
      <c r="E283" s="321"/>
      <c r="F283" s="321"/>
      <c r="G283" s="274"/>
      <c r="H283" s="274"/>
      <c r="I283" s="84">
        <v>0</v>
      </c>
      <c r="J283" s="295"/>
    </row>
    <row r="284" spans="1:10" s="657" customFormat="1" ht="21" customHeight="1" thickBot="1">
      <c r="A284" s="274"/>
      <c r="B284" s="290"/>
      <c r="C284" s="291"/>
      <c r="D284" s="92" t="s">
        <v>296</v>
      </c>
      <c r="E284" s="290"/>
      <c r="F284" s="290"/>
      <c r="G284" s="290"/>
      <c r="H284" s="290"/>
      <c r="I284" s="297">
        <f>SUM(I278:I283)</f>
        <v>504547799</v>
      </c>
      <c r="J284" s="297">
        <f>SUM(J278:J283)</f>
        <v>202462214</v>
      </c>
    </row>
    <row r="285" spans="1:10" s="657" customFormat="1" ht="15" customHeight="1" thickTop="1">
      <c r="A285" s="274"/>
      <c r="B285" s="274"/>
      <c r="C285" s="274"/>
      <c r="D285" s="273"/>
      <c r="E285" s="274"/>
      <c r="F285" s="274"/>
      <c r="G285" s="274"/>
      <c r="H285" s="274"/>
      <c r="I285" s="293"/>
      <c r="J285" s="124"/>
    </row>
    <row r="286" spans="1:10" s="657" customFormat="1" ht="22.5" customHeight="1">
      <c r="A286" s="274"/>
      <c r="B286" s="274"/>
      <c r="C286" s="274"/>
      <c r="D286" s="273"/>
      <c r="E286" s="274"/>
      <c r="F286" s="274"/>
      <c r="G286" s="274"/>
      <c r="H286" s="274"/>
      <c r="I286" s="293"/>
      <c r="J286" s="124"/>
    </row>
    <row r="287" spans="1:10" s="657" customFormat="1" ht="21.75" customHeight="1">
      <c r="A287" s="129" t="s">
        <v>426</v>
      </c>
      <c r="B287" s="78" t="s">
        <v>427</v>
      </c>
      <c r="C287" s="98"/>
      <c r="D287" s="79"/>
      <c r="E287" s="79"/>
      <c r="F287" s="79"/>
      <c r="G287" s="79"/>
      <c r="H287" s="79"/>
      <c r="I287" s="82">
        <v>39813</v>
      </c>
      <c r="J287" s="82">
        <v>39447</v>
      </c>
    </row>
    <row r="288" spans="1:10" s="657" customFormat="1" ht="19.5" customHeight="1">
      <c r="A288" s="289"/>
      <c r="B288" s="184" t="s">
        <v>428</v>
      </c>
      <c r="C288" s="134"/>
      <c r="D288" s="184"/>
      <c r="E288" s="86"/>
      <c r="F288" s="86"/>
      <c r="G288" s="86"/>
      <c r="H288" s="86"/>
      <c r="I288" s="84">
        <v>1189430721</v>
      </c>
      <c r="J288" s="294">
        <v>109263701</v>
      </c>
    </row>
    <row r="289" spans="1:10" s="657" customFormat="1" ht="19.5" customHeight="1">
      <c r="A289" s="289"/>
      <c r="B289" s="184" t="s">
        <v>429</v>
      </c>
      <c r="C289" s="134"/>
      <c r="D289" s="184"/>
      <c r="E289" s="86"/>
      <c r="F289" s="86"/>
      <c r="G289" s="86"/>
      <c r="H289" s="86"/>
      <c r="I289" s="296">
        <v>32042617</v>
      </c>
      <c r="J289" s="296">
        <v>1135389</v>
      </c>
    </row>
    <row r="290" spans="1:10" s="657" customFormat="1" ht="19.5" customHeight="1">
      <c r="A290" s="289"/>
      <c r="B290" s="184" t="s">
        <v>433</v>
      </c>
      <c r="C290" s="134"/>
      <c r="D290" s="184"/>
      <c r="E290" s="86"/>
      <c r="F290" s="86"/>
      <c r="G290" s="86"/>
      <c r="H290" s="86"/>
      <c r="I290" s="766">
        <f>367859611+31145229</f>
        <v>399004840</v>
      </c>
      <c r="J290" s="296">
        <v>51678371</v>
      </c>
    </row>
    <row r="291" spans="1:10" s="657" customFormat="1" ht="22.5" customHeight="1" thickBot="1">
      <c r="A291" s="289"/>
      <c r="B291" s="298"/>
      <c r="C291" s="126"/>
      <c r="D291" s="92" t="s">
        <v>296</v>
      </c>
      <c r="E291" s="91"/>
      <c r="F291" s="91"/>
      <c r="G291" s="91"/>
      <c r="H291" s="91"/>
      <c r="I291" s="767">
        <f>I288+I289+I290</f>
        <v>1620478178</v>
      </c>
      <c r="J291" s="193">
        <f>SUM(J288:J290)</f>
        <v>162077461</v>
      </c>
    </row>
    <row r="292" spans="1:10" s="657" customFormat="1" ht="15" customHeight="1" thickTop="1">
      <c r="A292" s="274"/>
      <c r="B292" s="274"/>
      <c r="C292" s="274"/>
      <c r="D292" s="273"/>
      <c r="E292" s="274"/>
      <c r="F292" s="274"/>
      <c r="G292" s="274"/>
      <c r="H292" s="274"/>
      <c r="I292" s="293"/>
      <c r="J292" s="124"/>
    </row>
    <row r="293" spans="1:10" s="662" customFormat="1" ht="21.75" customHeight="1">
      <c r="A293" s="299">
        <v>31</v>
      </c>
      <c r="B293" s="300" t="s">
        <v>332</v>
      </c>
      <c r="C293" s="301"/>
      <c r="D293" s="301"/>
      <c r="E293" s="301"/>
      <c r="F293" s="301"/>
      <c r="G293" s="301"/>
      <c r="H293" s="301"/>
      <c r="I293" s="82">
        <v>39813</v>
      </c>
      <c r="J293" s="82">
        <v>39447</v>
      </c>
    </row>
    <row r="294" spans="1:10" s="657" customFormat="1" ht="3.75" customHeight="1">
      <c r="A294" s="303"/>
      <c r="B294" s="304"/>
      <c r="C294" s="304"/>
      <c r="D294" s="304"/>
      <c r="E294" s="304"/>
      <c r="F294" s="304"/>
      <c r="G294" s="304"/>
      <c r="H294" s="304"/>
      <c r="I294" s="305"/>
      <c r="J294" s="306"/>
    </row>
    <row r="295" spans="1:10" s="657" customFormat="1" ht="36" customHeight="1">
      <c r="A295" s="77"/>
      <c r="B295" s="819" t="s">
        <v>468</v>
      </c>
      <c r="C295" s="820"/>
      <c r="D295" s="820"/>
      <c r="E295" s="820"/>
      <c r="F295" s="820"/>
      <c r="G295" s="820"/>
      <c r="I295" s="307">
        <f>KQKD!E22</f>
        <v>2249037614</v>
      </c>
      <c r="J295" s="307">
        <f>KQKD!F22</f>
        <v>2785306386</v>
      </c>
    </row>
    <row r="296" spans="1:10" s="657" customFormat="1" ht="36" customHeight="1">
      <c r="A296" s="77"/>
      <c r="B296" s="821" t="s">
        <v>425</v>
      </c>
      <c r="C296" s="822"/>
      <c r="D296" s="822"/>
      <c r="E296" s="822"/>
      <c r="F296" s="822"/>
      <c r="G296" s="822"/>
      <c r="H296" s="308"/>
      <c r="I296" s="309">
        <f>SUM(I298:I300)</f>
        <v>0</v>
      </c>
      <c r="J296" s="307">
        <f>SUM(J298:J300)</f>
        <v>87272313</v>
      </c>
    </row>
    <row r="297" spans="1:10" s="657" customFormat="1" ht="20.25" customHeight="1">
      <c r="A297" s="77"/>
      <c r="B297" s="308"/>
      <c r="C297" s="308"/>
      <c r="D297" s="310" t="s">
        <v>219</v>
      </c>
      <c r="E297" s="310"/>
      <c r="F297" s="310"/>
      <c r="G297" s="310"/>
      <c r="H297" s="310"/>
      <c r="I297" s="296"/>
      <c r="J297" s="296"/>
    </row>
    <row r="298" spans="1:10" s="657" customFormat="1" ht="15.75" customHeight="1">
      <c r="A298" s="77"/>
      <c r="B298" s="308"/>
      <c r="C298" s="308"/>
      <c r="D298" s="310" t="s">
        <v>220</v>
      </c>
      <c r="E298" s="310"/>
      <c r="F298" s="310"/>
      <c r="G298" s="310"/>
      <c r="H298" s="310"/>
      <c r="I298" s="296"/>
      <c r="J298" s="296">
        <v>87272313</v>
      </c>
    </row>
    <row r="299" spans="1:10" s="657" customFormat="1" ht="18.75" customHeight="1">
      <c r="A299" s="77"/>
      <c r="B299" s="308"/>
      <c r="C299" s="308"/>
      <c r="D299" s="310" t="s">
        <v>221</v>
      </c>
      <c r="E299" s="310"/>
      <c r="F299" s="310"/>
      <c r="G299" s="310"/>
      <c r="H299" s="310"/>
      <c r="I299" s="296"/>
      <c r="J299" s="296"/>
    </row>
    <row r="300" spans="1:10" s="657" customFormat="1" ht="17.25" customHeight="1">
      <c r="A300" s="77"/>
      <c r="B300" s="308"/>
      <c r="C300" s="308"/>
      <c r="D300" s="203" t="s">
        <v>325</v>
      </c>
      <c r="E300" s="203"/>
      <c r="F300" s="203"/>
      <c r="G300" s="203"/>
      <c r="H300" s="203"/>
      <c r="I300" s="311">
        <v>0</v>
      </c>
      <c r="J300" s="296"/>
    </row>
    <row r="301" spans="1:10" s="657" customFormat="1" ht="18.75" customHeight="1">
      <c r="A301" s="77"/>
      <c r="B301" s="196" t="s">
        <v>424</v>
      </c>
      <c r="C301" s="312"/>
      <c r="D301" s="312"/>
      <c r="E301" s="312"/>
      <c r="F301" s="312"/>
      <c r="G301" s="312"/>
      <c r="I301" s="313"/>
      <c r="J301" s="313">
        <f>J298+J295</f>
        <v>2872578699</v>
      </c>
    </row>
    <row r="302" spans="1:10" s="657" customFormat="1" ht="18.75" customHeight="1">
      <c r="A302" s="274"/>
      <c r="B302" s="72" t="s">
        <v>92</v>
      </c>
      <c r="C302" s="134"/>
      <c r="D302" s="274"/>
      <c r="E302" s="274"/>
      <c r="F302" s="274"/>
      <c r="G302" s="274"/>
      <c r="H302" s="274"/>
      <c r="I302" s="293">
        <f>I301*0.2</f>
        <v>0</v>
      </c>
      <c r="J302" s="293">
        <f>J301*0.2*0.5</f>
        <v>287257869.90000004</v>
      </c>
    </row>
    <row r="303" spans="1:10" s="657" customFormat="1" ht="18.75" customHeight="1">
      <c r="A303" s="274"/>
      <c r="B303" s="72" t="s">
        <v>448</v>
      </c>
      <c r="C303" s="134"/>
      <c r="D303" s="274"/>
      <c r="E303" s="274"/>
      <c r="F303" s="274"/>
      <c r="G303" s="274"/>
      <c r="H303" s="274"/>
      <c r="I303" s="293">
        <v>0</v>
      </c>
      <c r="J303" s="293">
        <f>J302-J304</f>
        <v>278088737.90000004</v>
      </c>
    </row>
    <row r="304" spans="1:10" s="657" customFormat="1" ht="18.75" customHeight="1">
      <c r="A304" s="274"/>
      <c r="B304" s="72" t="s">
        <v>93</v>
      </c>
      <c r="C304" s="134"/>
      <c r="D304" s="274"/>
      <c r="E304" s="274"/>
      <c r="F304" s="274"/>
      <c r="G304" s="274"/>
      <c r="H304" s="274"/>
      <c r="I304" s="135">
        <f>I302-I303</f>
        <v>0</v>
      </c>
      <c r="J304" s="293">
        <v>9169132</v>
      </c>
    </row>
    <row r="305" spans="1:10" s="657" customFormat="1" ht="18.75" customHeight="1">
      <c r="A305" s="86"/>
      <c r="B305" s="72" t="s">
        <v>222</v>
      </c>
      <c r="C305" s="134"/>
      <c r="D305" s="86"/>
      <c r="E305" s="86"/>
      <c r="F305" s="86"/>
      <c r="G305" s="86"/>
      <c r="I305" s="96">
        <f>I295</f>
        <v>2249037614</v>
      </c>
      <c r="J305" s="96">
        <f>J295-J304</f>
        <v>2776137254</v>
      </c>
    </row>
    <row r="306" spans="1:10" s="649" customFormat="1" ht="6" customHeight="1" thickBot="1">
      <c r="A306" s="224"/>
      <c r="B306" s="314"/>
      <c r="C306" s="314"/>
      <c r="D306" s="314"/>
      <c r="E306" s="314"/>
      <c r="F306" s="314"/>
      <c r="G306" s="314"/>
      <c r="H306" s="314"/>
      <c r="I306" s="314"/>
      <c r="J306" s="314"/>
    </row>
    <row r="307" spans="1:10" s="649" customFormat="1" ht="14.25" customHeight="1" thickTop="1">
      <c r="A307" s="224"/>
      <c r="B307" s="111"/>
      <c r="C307" s="111"/>
      <c r="D307" s="111"/>
      <c r="E307" s="111"/>
      <c r="F307" s="111"/>
      <c r="G307" s="111"/>
      <c r="H307" s="111"/>
      <c r="I307" s="111"/>
      <c r="J307" s="111"/>
    </row>
    <row r="308" spans="1:10" s="657" customFormat="1" ht="21.75" customHeight="1">
      <c r="A308" s="289" t="s">
        <v>132</v>
      </c>
      <c r="B308" s="78" t="s">
        <v>107</v>
      </c>
      <c r="C308" s="98"/>
      <c r="D308" s="79"/>
      <c r="E308" s="79"/>
      <c r="F308" s="79"/>
      <c r="G308" s="79"/>
      <c r="H308" s="79"/>
      <c r="I308" s="82">
        <v>39813</v>
      </c>
      <c r="J308" s="82">
        <v>39447</v>
      </c>
    </row>
    <row r="309" spans="1:10" s="657" customFormat="1" ht="21.75" customHeight="1">
      <c r="A309" s="86"/>
      <c r="B309" s="85" t="s">
        <v>319</v>
      </c>
      <c r="C309" s="134"/>
      <c r="D309" s="184"/>
      <c r="E309" s="86"/>
      <c r="F309" s="86"/>
      <c r="G309" s="664"/>
      <c r="I309" s="440">
        <f>19366143419+26295129952</f>
        <v>45661273371</v>
      </c>
      <c r="J309" s="440">
        <v>32475921568</v>
      </c>
    </row>
    <row r="310" spans="1:10" s="657" customFormat="1" ht="18" customHeight="1">
      <c r="A310" s="86"/>
      <c r="B310" s="85" t="s">
        <v>108</v>
      </c>
      <c r="C310" s="134"/>
      <c r="D310" s="184"/>
      <c r="E310" s="86"/>
      <c r="F310" s="86"/>
      <c r="G310" s="86"/>
      <c r="I310" s="124">
        <f>1444914189+1987012972</f>
        <v>3431927161</v>
      </c>
      <c r="J310" s="124">
        <v>2584823064</v>
      </c>
    </row>
    <row r="311" spans="1:10" s="657" customFormat="1" ht="18" customHeight="1">
      <c r="A311" s="86"/>
      <c r="B311" s="72" t="s">
        <v>216</v>
      </c>
      <c r="C311" s="134"/>
      <c r="D311" s="86"/>
      <c r="E311" s="86"/>
      <c r="F311" s="86"/>
      <c r="G311" s="86"/>
      <c r="I311" s="124">
        <f>179368259+389271622</f>
        <v>568639881</v>
      </c>
      <c r="J311" s="124">
        <v>453086347</v>
      </c>
    </row>
    <row r="312" spans="1:10" s="657" customFormat="1" ht="18" customHeight="1">
      <c r="A312" s="86"/>
      <c r="B312" s="72" t="s">
        <v>217</v>
      </c>
      <c r="C312" s="134"/>
      <c r="D312" s="86"/>
      <c r="E312" s="86"/>
      <c r="F312" s="86"/>
      <c r="G312" s="86"/>
      <c r="I312" s="124">
        <f>1081849900+1601537180</f>
        <v>2683387080</v>
      </c>
      <c r="J312" s="124">
        <v>2441614316</v>
      </c>
    </row>
    <row r="313" spans="1:10" s="657" customFormat="1" ht="18" customHeight="1">
      <c r="A313" s="86"/>
      <c r="B313" s="72" t="s">
        <v>218</v>
      </c>
      <c r="C313" s="134"/>
      <c r="D313" s="86"/>
      <c r="E313" s="86"/>
      <c r="F313" s="86"/>
      <c r="G313" s="86"/>
      <c r="H313" s="665"/>
      <c r="I313" s="666">
        <f>I314-I309-I310-I311-I312</f>
        <v>4511639259</v>
      </c>
      <c r="J313" s="666">
        <v>3130488747</v>
      </c>
    </row>
    <row r="314" spans="1:10" s="657" customFormat="1" ht="21" customHeight="1" thickBot="1">
      <c r="A314" s="274"/>
      <c r="B314" s="290"/>
      <c r="C314" s="131"/>
      <c r="D314" s="92" t="s">
        <v>296</v>
      </c>
      <c r="E314" s="290"/>
      <c r="F314" s="290"/>
      <c r="G314" s="290"/>
      <c r="H314" s="667"/>
      <c r="I314" s="94">
        <v>56856866752</v>
      </c>
      <c r="J314" s="94">
        <f>SUM(J309:J313)</f>
        <v>41085934042</v>
      </c>
    </row>
    <row r="315" spans="1:10" s="657" customFormat="1" ht="13.5" customHeight="1" thickTop="1">
      <c r="A315" s="315"/>
      <c r="B315" s="316"/>
      <c r="C315" s="316"/>
      <c r="D315" s="316"/>
      <c r="E315" s="316"/>
      <c r="F315" s="316"/>
      <c r="G315" s="316"/>
      <c r="H315" s="316"/>
      <c r="I315" s="316"/>
      <c r="J315" s="316"/>
    </row>
    <row r="316" spans="1:10" s="657" customFormat="1" ht="25.5" customHeight="1">
      <c r="A316" s="129" t="s">
        <v>292</v>
      </c>
      <c r="B316" s="862" t="s">
        <v>110</v>
      </c>
      <c r="C316" s="862"/>
      <c r="D316" s="862"/>
      <c r="E316" s="862"/>
      <c r="F316" s="862"/>
      <c r="G316" s="862"/>
      <c r="H316" s="5"/>
      <c r="I316" s="5"/>
      <c r="J316" s="5"/>
    </row>
    <row r="317" spans="1:10" s="657" customFormat="1" ht="25.5" customHeight="1">
      <c r="A317" s="129" t="s">
        <v>85</v>
      </c>
      <c r="B317" s="862" t="s">
        <v>86</v>
      </c>
      <c r="C317" s="862"/>
      <c r="D317" s="862"/>
      <c r="E317" s="862"/>
      <c r="F317" s="862"/>
      <c r="G317" s="5"/>
      <c r="H317" s="5"/>
      <c r="I317" s="5"/>
      <c r="J317" s="5"/>
    </row>
    <row r="318" spans="1:10" s="657" customFormat="1" ht="36" customHeight="1">
      <c r="A318" s="62"/>
      <c r="B318" s="863" t="s">
        <v>548</v>
      </c>
      <c r="C318" s="863"/>
      <c r="D318" s="863"/>
      <c r="E318" s="863"/>
      <c r="F318" s="863"/>
      <c r="G318" s="863"/>
      <c r="H318" s="863"/>
      <c r="I318" s="863"/>
      <c r="J318" s="863"/>
    </row>
    <row r="319" spans="1:10" s="657" customFormat="1" ht="15.75" customHeight="1">
      <c r="A319" s="62"/>
      <c r="B319" s="765"/>
      <c r="C319" s="765"/>
      <c r="D319" s="765"/>
      <c r="E319" s="765"/>
      <c r="F319" s="765"/>
      <c r="G319" s="765"/>
      <c r="H319" s="765"/>
      <c r="I319" s="765"/>
      <c r="J319" s="765"/>
    </row>
    <row r="320" spans="1:10" s="657" customFormat="1" ht="32.25" customHeight="1">
      <c r="A320" s="674"/>
      <c r="B320" s="863" t="s">
        <v>482</v>
      </c>
      <c r="C320" s="863"/>
      <c r="D320" s="863"/>
      <c r="E320" s="863"/>
      <c r="F320" s="863"/>
      <c r="G320" s="863"/>
      <c r="H320" s="863"/>
      <c r="I320" s="863"/>
      <c r="J320" s="863"/>
    </row>
    <row r="321" spans="1:10" s="657" customFormat="1" ht="37.5" customHeight="1">
      <c r="A321" s="674"/>
      <c r="B321" s="841" t="s">
        <v>552</v>
      </c>
      <c r="C321" s="842"/>
      <c r="D321" s="842"/>
      <c r="E321" s="842"/>
      <c r="F321" s="842"/>
      <c r="G321" s="842"/>
      <c r="H321" s="842"/>
      <c r="I321" s="842"/>
      <c r="J321" s="842"/>
    </row>
    <row r="322" spans="1:10" s="657" customFormat="1" ht="58.5" customHeight="1" thickBot="1">
      <c r="A322" s="315"/>
      <c r="B322" s="815" t="s">
        <v>553</v>
      </c>
      <c r="C322" s="816"/>
      <c r="D322" s="816"/>
      <c r="E322" s="816"/>
      <c r="F322" s="816"/>
      <c r="G322" s="816"/>
      <c r="H322" s="816"/>
      <c r="I322" s="816"/>
      <c r="J322" s="816"/>
    </row>
    <row r="323" spans="1:10" s="657" customFormat="1" ht="10.5" customHeight="1" thickTop="1">
      <c r="A323" s="315"/>
      <c r="B323" s="85"/>
      <c r="C323" s="134"/>
      <c r="D323" s="134"/>
      <c r="E323" s="134"/>
      <c r="F323" s="134"/>
      <c r="G323" s="134"/>
      <c r="H323" s="134"/>
      <c r="I323" s="134"/>
      <c r="J323" s="134"/>
    </row>
    <row r="324" spans="1:10" ht="16.5" customHeight="1">
      <c r="A324" s="42"/>
      <c r="B324" s="44"/>
      <c r="C324" s="44"/>
      <c r="D324" s="44"/>
      <c r="E324" s="44"/>
      <c r="F324" s="44"/>
      <c r="G324" s="42"/>
      <c r="H324" s="42"/>
      <c r="I324" s="317" t="s">
        <v>547</v>
      </c>
      <c r="J324" s="317"/>
    </row>
    <row r="325" spans="1:10" ht="21.75" customHeight="1">
      <c r="A325" s="42"/>
      <c r="B325" s="318"/>
      <c r="C325" s="318"/>
      <c r="D325" s="318" t="s">
        <v>223</v>
      </c>
      <c r="E325" s="318"/>
      <c r="F325" s="318"/>
      <c r="G325" s="318"/>
      <c r="H325" s="318"/>
      <c r="I325" s="319" t="str">
        <f>'[3]CDKT'!G101</f>
        <v>Toång Giaùm Ñoác</v>
      </c>
      <c r="J325" s="319"/>
    </row>
    <row r="326" spans="1:11" ht="19.5" customHeight="1">
      <c r="A326" s="44"/>
      <c r="B326" s="44"/>
      <c r="C326" s="44"/>
      <c r="D326" s="44"/>
      <c r="E326" s="44"/>
      <c r="F326" s="44"/>
      <c r="G326" s="318"/>
      <c r="H326" s="318"/>
      <c r="I326" s="319"/>
      <c r="J326" s="545"/>
      <c r="K326" s="537"/>
    </row>
    <row r="327" spans="1:11" ht="24" customHeight="1">
      <c r="A327" s="668"/>
      <c r="B327" s="668"/>
      <c r="C327" s="668"/>
      <c r="D327" s="668"/>
      <c r="E327" s="668"/>
      <c r="F327" s="668"/>
      <c r="G327" s="668"/>
      <c r="H327" s="668"/>
      <c r="I327" s="669"/>
      <c r="J327" s="669"/>
      <c r="K327" s="537"/>
    </row>
    <row r="328" spans="1:11" ht="19.5" customHeight="1">
      <c r="A328" s="54"/>
      <c r="B328" s="53"/>
      <c r="C328" s="53"/>
      <c r="D328" s="53"/>
      <c r="E328" s="53"/>
      <c r="F328" s="53"/>
      <c r="G328" s="53"/>
      <c r="H328" s="53"/>
      <c r="I328" s="135"/>
      <c r="J328" s="76"/>
      <c r="K328" s="537"/>
    </row>
    <row r="329" spans="1:11" ht="1.5" customHeight="1">
      <c r="A329" s="54"/>
      <c r="B329" s="53"/>
      <c r="C329" s="53"/>
      <c r="D329" s="53"/>
      <c r="E329" s="53"/>
      <c r="F329" s="53"/>
      <c r="G329" s="53"/>
      <c r="H329" s="53"/>
      <c r="I329" s="135"/>
      <c r="J329" s="76"/>
      <c r="K329" s="537"/>
    </row>
    <row r="330" spans="1:11" ht="24" customHeight="1">
      <c r="A330" s="42"/>
      <c r="B330" s="44"/>
      <c r="C330" s="44"/>
      <c r="D330" s="44"/>
      <c r="E330" s="44"/>
      <c r="F330" s="44"/>
      <c r="G330" s="44"/>
      <c r="H330" s="44"/>
      <c r="I330" s="59"/>
      <c r="J330" s="45"/>
      <c r="K330" s="537"/>
    </row>
    <row r="331" spans="1:10" ht="21.75" customHeight="1">
      <c r="A331" s="42"/>
      <c r="B331" s="44"/>
      <c r="C331" s="44"/>
      <c r="D331" s="44"/>
      <c r="E331" s="44"/>
      <c r="F331" s="44"/>
      <c r="G331" s="44"/>
      <c r="H331" s="44"/>
      <c r="I331" s="59"/>
      <c r="J331" s="45"/>
    </row>
    <row r="332" spans="1:10" ht="3.75" customHeight="1">
      <c r="A332" s="42"/>
      <c r="B332" s="44"/>
      <c r="C332" s="44"/>
      <c r="D332" s="44"/>
      <c r="E332" s="44"/>
      <c r="F332" s="44"/>
      <c r="G332" s="44"/>
      <c r="H332" s="44"/>
      <c r="I332" s="59"/>
      <c r="J332" s="45"/>
    </row>
    <row r="333" spans="1:253" ht="43.5" customHeight="1">
      <c r="A333" s="42"/>
      <c r="B333" s="44"/>
      <c r="C333" s="44"/>
      <c r="D333" s="44"/>
      <c r="E333" s="44"/>
      <c r="F333" s="44"/>
      <c r="G333" s="44"/>
      <c r="H333" s="44"/>
      <c r="I333" s="59"/>
      <c r="J333" s="45"/>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c r="IQ333" s="9"/>
      <c r="IR333" s="9"/>
      <c r="IS333" s="9"/>
    </row>
    <row r="334" spans="11:253" ht="19.5" customHeight="1">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c r="IQ334" s="9"/>
      <c r="IR334" s="9"/>
      <c r="IS334" s="9"/>
    </row>
    <row r="335" spans="1:253" ht="43.5" customHeight="1">
      <c r="A335" s="670"/>
      <c r="B335" s="671"/>
      <c r="C335" s="671"/>
      <c r="D335" s="671"/>
      <c r="E335" s="671"/>
      <c r="F335" s="671"/>
      <c r="G335" s="671"/>
      <c r="H335" s="671"/>
      <c r="I335" s="663"/>
      <c r="J335" s="672"/>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c r="HN335" s="31"/>
      <c r="HO335" s="31"/>
      <c r="HP335" s="31"/>
      <c r="HQ335" s="31"/>
      <c r="HR335" s="31"/>
      <c r="HS335" s="31"/>
      <c r="HT335" s="31"/>
      <c r="HU335" s="31"/>
      <c r="HV335" s="31"/>
      <c r="HW335" s="31"/>
      <c r="HX335" s="31"/>
      <c r="HY335" s="31"/>
      <c r="HZ335" s="31"/>
      <c r="IA335" s="31"/>
      <c r="IB335" s="31"/>
      <c r="IC335" s="31"/>
      <c r="ID335" s="31"/>
      <c r="IE335" s="31"/>
      <c r="IF335" s="31"/>
      <c r="IG335" s="31"/>
      <c r="IH335" s="31"/>
      <c r="II335" s="31"/>
      <c r="IJ335" s="31"/>
      <c r="IK335" s="31"/>
      <c r="IL335" s="31"/>
      <c r="IM335" s="31"/>
      <c r="IN335" s="31"/>
      <c r="IO335" s="31"/>
      <c r="IP335" s="31"/>
      <c r="IQ335" s="31"/>
      <c r="IR335" s="31"/>
      <c r="IS335" s="31"/>
    </row>
    <row r="336" spans="1:253" ht="19.5" customHeight="1">
      <c r="A336" s="670"/>
      <c r="B336" s="671"/>
      <c r="C336" s="671"/>
      <c r="D336" s="671"/>
      <c r="E336" s="671"/>
      <c r="F336" s="671"/>
      <c r="G336" s="671"/>
      <c r="H336" s="671"/>
      <c r="I336" s="663"/>
      <c r="J336" s="672"/>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c r="IQ336" s="9"/>
      <c r="IR336" s="9"/>
      <c r="IS336" s="9"/>
    </row>
    <row r="337" spans="11:253" ht="19.5" customHeight="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c r="GR337" s="31"/>
      <c r="GS337" s="31"/>
      <c r="GT337" s="31"/>
      <c r="GU337" s="31"/>
      <c r="GV337" s="31"/>
      <c r="GW337" s="31"/>
      <c r="GX337" s="31"/>
      <c r="GY337" s="31"/>
      <c r="GZ337" s="31"/>
      <c r="HA337" s="31"/>
      <c r="HB337" s="31"/>
      <c r="HC337" s="31"/>
      <c r="HD337" s="31"/>
      <c r="HE337" s="31"/>
      <c r="HF337" s="31"/>
      <c r="HG337" s="31"/>
      <c r="HH337" s="31"/>
      <c r="HI337" s="31"/>
      <c r="HJ337" s="31"/>
      <c r="HK337" s="31"/>
      <c r="HL337" s="31"/>
      <c r="HM337" s="31"/>
      <c r="HN337" s="31"/>
      <c r="HO337" s="31"/>
      <c r="HP337" s="31"/>
      <c r="HQ337" s="31"/>
      <c r="HR337" s="31"/>
      <c r="HS337" s="31"/>
      <c r="HT337" s="31"/>
      <c r="HU337" s="31"/>
      <c r="HV337" s="31"/>
      <c r="HW337" s="31"/>
      <c r="HX337" s="31"/>
      <c r="HY337" s="31"/>
      <c r="HZ337" s="31"/>
      <c r="IA337" s="31"/>
      <c r="IB337" s="31"/>
      <c r="IC337" s="31"/>
      <c r="ID337" s="31"/>
      <c r="IE337" s="31"/>
      <c r="IF337" s="31"/>
      <c r="IG337" s="31"/>
      <c r="IH337" s="31"/>
      <c r="II337" s="31"/>
      <c r="IJ337" s="31"/>
      <c r="IK337" s="31"/>
      <c r="IL337" s="31"/>
      <c r="IM337" s="31"/>
      <c r="IN337" s="31"/>
      <c r="IO337" s="31"/>
      <c r="IP337" s="31"/>
      <c r="IQ337" s="31"/>
      <c r="IR337" s="31"/>
      <c r="IS337" s="31"/>
    </row>
    <row r="338" spans="11:253" ht="3.75" customHeight="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c r="EZ338" s="31"/>
      <c r="FA338" s="31"/>
      <c r="FB338" s="31"/>
      <c r="FC338" s="31"/>
      <c r="FD338" s="31"/>
      <c r="FE338" s="31"/>
      <c r="FF338" s="31"/>
      <c r="FG338" s="31"/>
      <c r="FH338" s="31"/>
      <c r="FI338" s="31"/>
      <c r="FJ338" s="31"/>
      <c r="FK338" s="31"/>
      <c r="FL338" s="31"/>
      <c r="FM338" s="31"/>
      <c r="FN338" s="31"/>
      <c r="FO338" s="31"/>
      <c r="FP338" s="31"/>
      <c r="FQ338" s="31"/>
      <c r="FR338" s="31"/>
      <c r="FS338" s="31"/>
      <c r="FT338" s="31"/>
      <c r="FU338" s="31"/>
      <c r="FV338" s="31"/>
      <c r="FW338" s="31"/>
      <c r="FX338" s="31"/>
      <c r="FY338" s="31"/>
      <c r="FZ338" s="31"/>
      <c r="GA338" s="31"/>
      <c r="GB338" s="31"/>
      <c r="GC338" s="31"/>
      <c r="GD338" s="31"/>
      <c r="GE338" s="31"/>
      <c r="GF338" s="31"/>
      <c r="GG338" s="31"/>
      <c r="GH338" s="31"/>
      <c r="GI338" s="31"/>
      <c r="GJ338" s="31"/>
      <c r="GK338" s="31"/>
      <c r="GL338" s="31"/>
      <c r="GM338" s="31"/>
      <c r="GN338" s="31"/>
      <c r="GO338" s="31"/>
      <c r="GP338" s="31"/>
      <c r="GQ338" s="31"/>
      <c r="GR338" s="31"/>
      <c r="GS338" s="31"/>
      <c r="GT338" s="31"/>
      <c r="GU338" s="31"/>
      <c r="GV338" s="31"/>
      <c r="GW338" s="31"/>
      <c r="GX338" s="31"/>
      <c r="GY338" s="31"/>
      <c r="GZ338" s="31"/>
      <c r="HA338" s="31"/>
      <c r="HB338" s="31"/>
      <c r="HC338" s="31"/>
      <c r="HD338" s="31"/>
      <c r="HE338" s="31"/>
      <c r="HF338" s="31"/>
      <c r="HG338" s="31"/>
      <c r="HH338" s="31"/>
      <c r="HI338" s="31"/>
      <c r="HJ338" s="31"/>
      <c r="HK338" s="31"/>
      <c r="HL338" s="31"/>
      <c r="HM338" s="31"/>
      <c r="HN338" s="31"/>
      <c r="HO338" s="31"/>
      <c r="HP338" s="31"/>
      <c r="HQ338" s="31"/>
      <c r="HR338" s="31"/>
      <c r="HS338" s="31"/>
      <c r="HT338" s="31"/>
      <c r="HU338" s="31"/>
      <c r="HV338" s="31"/>
      <c r="HW338" s="31"/>
      <c r="HX338" s="31"/>
      <c r="HY338" s="31"/>
      <c r="HZ338" s="31"/>
      <c r="IA338" s="31"/>
      <c r="IB338" s="31"/>
      <c r="IC338" s="31"/>
      <c r="ID338" s="31"/>
      <c r="IE338" s="31"/>
      <c r="IF338" s="31"/>
      <c r="IG338" s="31"/>
      <c r="IH338" s="31"/>
      <c r="II338" s="31"/>
      <c r="IJ338" s="31"/>
      <c r="IK338" s="31"/>
      <c r="IL338" s="31"/>
      <c r="IM338" s="31"/>
      <c r="IN338" s="31"/>
      <c r="IO338" s="31"/>
      <c r="IP338" s="31"/>
      <c r="IQ338" s="31"/>
      <c r="IR338" s="31"/>
      <c r="IS338" s="31"/>
    </row>
    <row r="339" spans="11:253" ht="19.5" customHeight="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31"/>
      <c r="ED339" s="31"/>
      <c r="EE339" s="31"/>
      <c r="EF339" s="31"/>
      <c r="EG339" s="31"/>
      <c r="EH339" s="31"/>
      <c r="EI339" s="31"/>
      <c r="EJ339" s="31"/>
      <c r="EK339" s="31"/>
      <c r="EL339" s="31"/>
      <c r="EM339" s="31"/>
      <c r="EN339" s="31"/>
      <c r="EO339" s="31"/>
      <c r="EP339" s="31"/>
      <c r="EQ339" s="31"/>
      <c r="ER339" s="31"/>
      <c r="ES339" s="31"/>
      <c r="ET339" s="31"/>
      <c r="EU339" s="31"/>
      <c r="EV339" s="31"/>
      <c r="EW339" s="31"/>
      <c r="EX339" s="31"/>
      <c r="EY339" s="31"/>
      <c r="EZ339" s="31"/>
      <c r="FA339" s="31"/>
      <c r="FB339" s="31"/>
      <c r="FC339" s="31"/>
      <c r="FD339" s="31"/>
      <c r="FE339" s="31"/>
      <c r="FF339" s="31"/>
      <c r="FG339" s="31"/>
      <c r="FH339" s="31"/>
      <c r="FI339" s="31"/>
      <c r="FJ339" s="31"/>
      <c r="FK339" s="31"/>
      <c r="FL339" s="31"/>
      <c r="FM339" s="31"/>
      <c r="FN339" s="31"/>
      <c r="FO339" s="31"/>
      <c r="FP339" s="31"/>
      <c r="FQ339" s="31"/>
      <c r="FR339" s="31"/>
      <c r="FS339" s="31"/>
      <c r="FT339" s="31"/>
      <c r="FU339" s="31"/>
      <c r="FV339" s="31"/>
      <c r="FW339" s="31"/>
      <c r="FX339" s="31"/>
      <c r="FY339" s="31"/>
      <c r="FZ339" s="31"/>
      <c r="GA339" s="31"/>
      <c r="GB339" s="31"/>
      <c r="GC339" s="31"/>
      <c r="GD339" s="31"/>
      <c r="GE339" s="31"/>
      <c r="GF339" s="31"/>
      <c r="GG339" s="31"/>
      <c r="GH339" s="31"/>
      <c r="GI339" s="31"/>
      <c r="GJ339" s="31"/>
      <c r="GK339" s="31"/>
      <c r="GL339" s="31"/>
      <c r="GM339" s="31"/>
      <c r="GN339" s="31"/>
      <c r="GO339" s="31"/>
      <c r="GP339" s="31"/>
      <c r="GQ339" s="31"/>
      <c r="GR339" s="31"/>
      <c r="GS339" s="31"/>
      <c r="GT339" s="31"/>
      <c r="GU339" s="31"/>
      <c r="GV339" s="31"/>
      <c r="GW339" s="31"/>
      <c r="GX339" s="31"/>
      <c r="GY339" s="31"/>
      <c r="GZ339" s="31"/>
      <c r="HA339" s="31"/>
      <c r="HB339" s="31"/>
      <c r="HC339" s="31"/>
      <c r="HD339" s="31"/>
      <c r="HE339" s="31"/>
      <c r="HF339" s="31"/>
      <c r="HG339" s="31"/>
      <c r="HH339" s="31"/>
      <c r="HI339" s="31"/>
      <c r="HJ339" s="31"/>
      <c r="HK339" s="31"/>
      <c r="HL339" s="31"/>
      <c r="HM339" s="31"/>
      <c r="HN339" s="31"/>
      <c r="HO339" s="31"/>
      <c r="HP339" s="31"/>
      <c r="HQ339" s="31"/>
      <c r="HR339" s="31"/>
      <c r="HS339" s="31"/>
      <c r="HT339" s="31"/>
      <c r="HU339" s="31"/>
      <c r="HV339" s="31"/>
      <c r="HW339" s="31"/>
      <c r="HX339" s="31"/>
      <c r="HY339" s="31"/>
      <c r="HZ339" s="31"/>
      <c r="IA339" s="31"/>
      <c r="IB339" s="31"/>
      <c r="IC339" s="31"/>
      <c r="ID339" s="31"/>
      <c r="IE339" s="31"/>
      <c r="IF339" s="31"/>
      <c r="IG339" s="31"/>
      <c r="IH339" s="31"/>
      <c r="II339" s="31"/>
      <c r="IJ339" s="31"/>
      <c r="IK339" s="31"/>
      <c r="IL339" s="31"/>
      <c r="IM339" s="31"/>
      <c r="IN339" s="31"/>
      <c r="IO339" s="31"/>
      <c r="IP339" s="31"/>
      <c r="IQ339" s="31"/>
      <c r="IR339" s="31"/>
      <c r="IS339" s="31"/>
    </row>
    <row r="340" ht="3.75" customHeight="1"/>
    <row r="341" spans="1:10" s="541" customFormat="1" ht="85.5" customHeight="1">
      <c r="A341" s="30"/>
      <c r="B341" s="538"/>
      <c r="C341" s="538"/>
      <c r="D341" s="538"/>
      <c r="E341" s="538"/>
      <c r="F341" s="538"/>
      <c r="G341" s="538"/>
      <c r="H341" s="538"/>
      <c r="I341" s="548"/>
      <c r="J341" s="639"/>
    </row>
    <row r="342" spans="1:10" s="543" customFormat="1" ht="25.5" customHeight="1">
      <c r="A342" s="30"/>
      <c r="B342" s="538"/>
      <c r="C342" s="538"/>
      <c r="D342" s="538"/>
      <c r="E342" s="538"/>
      <c r="F342" s="538"/>
      <c r="G342" s="538"/>
      <c r="H342" s="538"/>
      <c r="I342" s="548"/>
      <c r="J342" s="639"/>
    </row>
    <row r="343" spans="1:10" s="31" customFormat="1" ht="21.75" customHeight="1">
      <c r="A343" s="30"/>
      <c r="B343" s="538"/>
      <c r="C343" s="538"/>
      <c r="D343" s="538"/>
      <c r="E343" s="538"/>
      <c r="F343" s="538"/>
      <c r="G343" s="538"/>
      <c r="H343" s="538"/>
      <c r="I343" s="548"/>
      <c r="J343" s="639"/>
    </row>
    <row r="344" spans="1:10" s="31" customFormat="1" ht="21.75" customHeight="1">
      <c r="A344" s="538"/>
      <c r="B344" s="538"/>
      <c r="C344" s="538"/>
      <c r="D344" s="538"/>
      <c r="E344" s="538"/>
      <c r="F344" s="538"/>
      <c r="G344" s="538"/>
      <c r="H344" s="538"/>
      <c r="I344" s="548"/>
      <c r="J344" s="548"/>
    </row>
    <row r="345" spans="1:10" s="31" customFormat="1" ht="25.5" customHeight="1">
      <c r="A345" s="538"/>
      <c r="B345" s="538"/>
      <c r="C345" s="538"/>
      <c r="D345" s="538"/>
      <c r="E345" s="538"/>
      <c r="F345" s="538"/>
      <c r="G345" s="538"/>
      <c r="H345" s="538"/>
      <c r="I345" s="548"/>
      <c r="J345" s="548"/>
    </row>
    <row r="346" spans="1:10" ht="18" customHeight="1">
      <c r="A346" s="538"/>
      <c r="J346" s="548"/>
    </row>
    <row r="347" spans="1:10" ht="18" customHeight="1">
      <c r="A347" s="538"/>
      <c r="J347" s="548"/>
    </row>
    <row r="348" spans="1:10" ht="18" customHeight="1">
      <c r="A348" s="538"/>
      <c r="J348" s="548"/>
    </row>
    <row r="349" spans="1:10" ht="18" customHeight="1">
      <c r="A349" s="538"/>
      <c r="J349" s="548"/>
    </row>
    <row r="350" spans="1:10" ht="18" customHeight="1">
      <c r="A350" s="538"/>
      <c r="J350" s="548"/>
    </row>
    <row r="351" spans="1:10" ht="18" customHeight="1">
      <c r="A351" s="538"/>
      <c r="J351" s="548"/>
    </row>
    <row r="352" spans="1:10" ht="18" customHeight="1">
      <c r="A352" s="538"/>
      <c r="J352" s="548"/>
    </row>
    <row r="353" spans="1:10" ht="18" customHeight="1">
      <c r="A353" s="538"/>
      <c r="J353" s="548"/>
    </row>
    <row r="354" spans="1:10" ht="18" customHeight="1">
      <c r="A354" s="538"/>
      <c r="J354" s="548"/>
    </row>
    <row r="355" spans="1:10" ht="18" customHeight="1">
      <c r="A355" s="538"/>
      <c r="J355" s="548"/>
    </row>
    <row r="356" spans="1:10" ht="18" customHeight="1">
      <c r="A356" s="538"/>
      <c r="J356" s="548"/>
    </row>
    <row r="357" spans="1:10" ht="18" customHeight="1">
      <c r="A357" s="538"/>
      <c r="J357" s="548"/>
    </row>
    <row r="358" spans="1:10" ht="18" customHeight="1">
      <c r="A358" s="538"/>
      <c r="J358" s="548"/>
    </row>
    <row r="359" spans="1:10" ht="18" customHeight="1">
      <c r="A359" s="538"/>
      <c r="J359" s="548"/>
    </row>
    <row r="360" spans="1:10" ht="18" customHeight="1">
      <c r="A360" s="538"/>
      <c r="J360" s="548"/>
    </row>
    <row r="361" spans="1:10" ht="18" customHeight="1">
      <c r="A361" s="538"/>
      <c r="J361" s="548"/>
    </row>
    <row r="362" spans="1:10" ht="18" customHeight="1">
      <c r="A362" s="538"/>
      <c r="J362" s="548"/>
    </row>
    <row r="363" spans="1:10" ht="18" customHeight="1">
      <c r="A363" s="538"/>
      <c r="J363" s="548"/>
    </row>
    <row r="364" spans="1:10" ht="18" customHeight="1">
      <c r="A364" s="538"/>
      <c r="J364" s="548"/>
    </row>
    <row r="365" spans="1:10" ht="18" customHeight="1">
      <c r="A365" s="538"/>
      <c r="J365" s="548"/>
    </row>
    <row r="366" spans="1:10" ht="18" customHeight="1">
      <c r="A366" s="538"/>
      <c r="J366" s="548"/>
    </row>
    <row r="367" spans="1:10" ht="18" customHeight="1">
      <c r="A367" s="538"/>
      <c r="J367" s="548"/>
    </row>
    <row r="368" spans="1:10" ht="18" customHeight="1">
      <c r="A368" s="538"/>
      <c r="J368" s="548"/>
    </row>
    <row r="369" spans="1:10" ht="18" customHeight="1">
      <c r="A369" s="538"/>
      <c r="J369" s="548"/>
    </row>
    <row r="370" spans="1:10" ht="18" customHeight="1">
      <c r="A370" s="538"/>
      <c r="J370" s="548"/>
    </row>
    <row r="371" spans="1:10" ht="18" customHeight="1">
      <c r="A371" s="538"/>
      <c r="J371" s="548"/>
    </row>
    <row r="372" spans="1:10" ht="18" customHeight="1">
      <c r="A372" s="538"/>
      <c r="J372" s="548"/>
    </row>
    <row r="373" spans="1:10" ht="18" customHeight="1">
      <c r="A373" s="538"/>
      <c r="J373" s="548"/>
    </row>
    <row r="374" spans="1:10" ht="18" customHeight="1">
      <c r="A374" s="538"/>
      <c r="J374" s="548"/>
    </row>
    <row r="375" spans="1:10" ht="18" customHeight="1">
      <c r="A375" s="538"/>
      <c r="J375" s="548"/>
    </row>
    <row r="376" spans="1:10" ht="18" customHeight="1">
      <c r="A376" s="538"/>
      <c r="J376" s="548"/>
    </row>
    <row r="377" spans="1:10" ht="18" customHeight="1">
      <c r="A377" s="538"/>
      <c r="J377" s="548"/>
    </row>
    <row r="378" spans="1:10" ht="18" customHeight="1">
      <c r="A378" s="538"/>
      <c r="J378" s="548"/>
    </row>
    <row r="379" spans="1:10" ht="18" customHeight="1">
      <c r="A379" s="538"/>
      <c r="J379" s="548"/>
    </row>
    <row r="380" spans="1:10" ht="18" customHeight="1">
      <c r="A380" s="538"/>
      <c r="J380" s="548"/>
    </row>
    <row r="381" spans="1:10" ht="18" customHeight="1">
      <c r="A381" s="538"/>
      <c r="J381" s="548"/>
    </row>
    <row r="382" spans="1:10" ht="18" customHeight="1">
      <c r="A382" s="538"/>
      <c r="J382" s="548"/>
    </row>
    <row r="383" spans="1:10" ht="18" customHeight="1">
      <c r="A383" s="538"/>
      <c r="J383" s="548"/>
    </row>
    <row r="384" spans="1:10" ht="18" customHeight="1">
      <c r="A384" s="538"/>
      <c r="J384" s="548"/>
    </row>
    <row r="385" spans="1:10" ht="18" customHeight="1">
      <c r="A385" s="538"/>
      <c r="J385" s="548"/>
    </row>
    <row r="386" spans="1:10" ht="18" customHeight="1">
      <c r="A386" s="538"/>
      <c r="J386" s="548"/>
    </row>
    <row r="387" spans="1:10" ht="18" customHeight="1">
      <c r="A387" s="538"/>
      <c r="J387" s="548"/>
    </row>
    <row r="388" spans="1:10" ht="18" customHeight="1">
      <c r="A388" s="538"/>
      <c r="J388" s="548"/>
    </row>
    <row r="389" spans="1:10" ht="18" customHeight="1">
      <c r="A389" s="538"/>
      <c r="J389" s="548"/>
    </row>
    <row r="390" spans="1:10" ht="18" customHeight="1">
      <c r="A390" s="538"/>
      <c r="J390" s="548"/>
    </row>
    <row r="391" spans="1:10" ht="18" customHeight="1">
      <c r="A391" s="538"/>
      <c r="J391" s="548"/>
    </row>
    <row r="392" spans="1:10" ht="18" customHeight="1">
      <c r="A392" s="538"/>
      <c r="J392" s="548"/>
    </row>
    <row r="393" spans="1:10" ht="18" customHeight="1">
      <c r="A393" s="538"/>
      <c r="J393" s="548"/>
    </row>
    <row r="394" spans="1:10" ht="18" customHeight="1">
      <c r="A394" s="538"/>
      <c r="J394" s="548"/>
    </row>
    <row r="395" spans="1:10" ht="18" customHeight="1">
      <c r="A395" s="538"/>
      <c r="J395" s="548"/>
    </row>
    <row r="396" spans="1:10" ht="18" customHeight="1">
      <c r="A396" s="538"/>
      <c r="J396" s="548"/>
    </row>
    <row r="397" spans="1:10" ht="18" customHeight="1">
      <c r="A397" s="538"/>
      <c r="J397" s="548"/>
    </row>
    <row r="398" spans="1:10" ht="18" customHeight="1">
      <c r="A398" s="538"/>
      <c r="J398" s="548"/>
    </row>
    <row r="399" spans="1:10" ht="18" customHeight="1">
      <c r="A399" s="538"/>
      <c r="J399" s="548"/>
    </row>
    <row r="400" spans="1:10" ht="18" customHeight="1">
      <c r="A400" s="538"/>
      <c r="J400" s="548"/>
    </row>
    <row r="401" spans="1:10" ht="18" customHeight="1">
      <c r="A401" s="538"/>
      <c r="J401" s="548"/>
    </row>
    <row r="402" spans="1:10" ht="18" customHeight="1">
      <c r="A402" s="538"/>
      <c r="J402" s="548"/>
    </row>
    <row r="403" spans="1:10" ht="18" customHeight="1">
      <c r="A403" s="538"/>
      <c r="J403" s="548"/>
    </row>
    <row r="404" spans="1:10" ht="18" customHeight="1">
      <c r="A404" s="538"/>
      <c r="J404" s="548"/>
    </row>
    <row r="405" spans="1:10" ht="18" customHeight="1">
      <c r="A405" s="538"/>
      <c r="J405" s="548"/>
    </row>
    <row r="406" spans="1:10" ht="18" customHeight="1">
      <c r="A406" s="538"/>
      <c r="J406" s="548"/>
    </row>
    <row r="407" spans="1:10" ht="18" customHeight="1">
      <c r="A407" s="538"/>
      <c r="J407" s="548"/>
    </row>
    <row r="408" spans="1:10" ht="18" customHeight="1">
      <c r="A408" s="538"/>
      <c r="J408" s="548"/>
    </row>
    <row r="409" spans="1:10" ht="18" customHeight="1">
      <c r="A409" s="538"/>
      <c r="J409" s="548"/>
    </row>
    <row r="410" spans="1:10" ht="18" customHeight="1">
      <c r="A410" s="538"/>
      <c r="J410" s="548"/>
    </row>
    <row r="411" spans="1:10" ht="18" customHeight="1">
      <c r="A411" s="538"/>
      <c r="J411" s="548"/>
    </row>
    <row r="412" spans="1:10" ht="18" customHeight="1">
      <c r="A412" s="538"/>
      <c r="J412" s="548"/>
    </row>
    <row r="413" spans="1:10" ht="18" customHeight="1">
      <c r="A413" s="538"/>
      <c r="J413" s="548"/>
    </row>
    <row r="414" spans="1:10" ht="18" customHeight="1">
      <c r="A414" s="538"/>
      <c r="J414" s="548"/>
    </row>
    <row r="415" spans="1:10" ht="18" customHeight="1">
      <c r="A415" s="538"/>
      <c r="J415" s="548"/>
    </row>
    <row r="416" spans="1:10" ht="18" customHeight="1">
      <c r="A416" s="538"/>
      <c r="J416" s="548"/>
    </row>
    <row r="417" spans="1:10" ht="18" customHeight="1">
      <c r="A417" s="538"/>
      <c r="J417" s="548"/>
    </row>
    <row r="418" spans="1:10" ht="18" customHeight="1">
      <c r="A418" s="538"/>
      <c r="J418" s="548"/>
    </row>
    <row r="419" spans="1:10" ht="18" customHeight="1">
      <c r="A419" s="538"/>
      <c r="J419" s="548"/>
    </row>
    <row r="420" spans="1:10" ht="18" customHeight="1">
      <c r="A420" s="538"/>
      <c r="J420" s="548"/>
    </row>
    <row r="421" spans="1:10" ht="18" customHeight="1">
      <c r="A421" s="538"/>
      <c r="J421" s="548"/>
    </row>
    <row r="422" spans="1:10" ht="18" customHeight="1">
      <c r="A422" s="538"/>
      <c r="J422" s="548"/>
    </row>
    <row r="423" spans="1:10" ht="18" customHeight="1">
      <c r="A423" s="538"/>
      <c r="J423" s="548"/>
    </row>
    <row r="424" spans="1:10" ht="18" customHeight="1">
      <c r="A424" s="538"/>
      <c r="J424" s="548"/>
    </row>
    <row r="425" spans="1:10" ht="18" customHeight="1">
      <c r="A425" s="538"/>
      <c r="J425" s="548"/>
    </row>
    <row r="426" spans="1:10" ht="18" customHeight="1">
      <c r="A426" s="538"/>
      <c r="J426" s="548"/>
    </row>
    <row r="427" spans="1:10" ht="18" customHeight="1">
      <c r="A427" s="538"/>
      <c r="J427" s="548"/>
    </row>
    <row r="428" spans="1:10" ht="18" customHeight="1">
      <c r="A428" s="538"/>
      <c r="J428" s="548"/>
    </row>
    <row r="429" spans="1:10" ht="18" customHeight="1">
      <c r="A429" s="538"/>
      <c r="J429" s="548"/>
    </row>
    <row r="430" spans="1:10" ht="18" customHeight="1">
      <c r="A430" s="538"/>
      <c r="J430" s="548"/>
    </row>
    <row r="431" spans="1:10" ht="18" customHeight="1">
      <c r="A431" s="538"/>
      <c r="J431" s="548"/>
    </row>
    <row r="432" spans="1:10" ht="18" customHeight="1">
      <c r="A432" s="538"/>
      <c r="J432" s="548"/>
    </row>
    <row r="433" spans="1:10" ht="18" customHeight="1">
      <c r="A433" s="538"/>
      <c r="J433" s="548"/>
    </row>
    <row r="434" spans="1:10" ht="18" customHeight="1">
      <c r="A434" s="538"/>
      <c r="J434" s="548"/>
    </row>
    <row r="435" spans="1:10" ht="18" customHeight="1">
      <c r="A435" s="538"/>
      <c r="J435" s="548"/>
    </row>
    <row r="436" spans="1:10" ht="18" customHeight="1">
      <c r="A436" s="538"/>
      <c r="J436" s="548"/>
    </row>
    <row r="437" spans="1:10" ht="18" customHeight="1">
      <c r="A437" s="538"/>
      <c r="J437" s="548"/>
    </row>
    <row r="438" spans="1:10" ht="18" customHeight="1">
      <c r="A438" s="538"/>
      <c r="J438" s="548"/>
    </row>
    <row r="439" spans="1:10" ht="18" customHeight="1">
      <c r="A439" s="538"/>
      <c r="J439" s="548"/>
    </row>
    <row r="440" spans="1:10" ht="18" customHeight="1">
      <c r="A440" s="538"/>
      <c r="J440" s="548"/>
    </row>
    <row r="441" spans="1:10" ht="18" customHeight="1">
      <c r="A441" s="538"/>
      <c r="J441" s="548"/>
    </row>
    <row r="442" spans="1:10" ht="18" customHeight="1">
      <c r="A442" s="538"/>
      <c r="J442" s="548"/>
    </row>
    <row r="443" spans="1:10" ht="18" customHeight="1">
      <c r="A443" s="538"/>
      <c r="J443" s="548"/>
    </row>
  </sheetData>
  <mergeCells count="66">
    <mergeCell ref="B316:G316"/>
    <mergeCell ref="B317:F317"/>
    <mergeCell ref="B318:J318"/>
    <mergeCell ref="B320:J320"/>
    <mergeCell ref="B45:J45"/>
    <mergeCell ref="B46:J46"/>
    <mergeCell ref="B10:J10"/>
    <mergeCell ref="B11:J11"/>
    <mergeCell ref="B16:J16"/>
    <mergeCell ref="B18:J18"/>
    <mergeCell ref="B44:J44"/>
    <mergeCell ref="B59:J59"/>
    <mergeCell ref="H93:I93"/>
    <mergeCell ref="D129:G129"/>
    <mergeCell ref="H70:I70"/>
    <mergeCell ref="H68:I68"/>
    <mergeCell ref="H141:I141"/>
    <mergeCell ref="H150:I150"/>
    <mergeCell ref="D130:G130"/>
    <mergeCell ref="D131:G131"/>
    <mergeCell ref="D132:G132"/>
    <mergeCell ref="H267:I267"/>
    <mergeCell ref="B244:G244"/>
    <mergeCell ref="B245:G245"/>
    <mergeCell ref="B247:G247"/>
    <mergeCell ref="B249:H249"/>
    <mergeCell ref="H151:I151"/>
    <mergeCell ref="B176:F176"/>
    <mergeCell ref="B253:J253"/>
    <mergeCell ref="B254:J254"/>
    <mergeCell ref="B208:E208"/>
    <mergeCell ref="H188:I188"/>
    <mergeCell ref="A252:J252"/>
    <mergeCell ref="B210:E210"/>
    <mergeCell ref="B212:F212"/>
    <mergeCell ref="B216:F216"/>
    <mergeCell ref="B219:J219"/>
    <mergeCell ref="B25:J25"/>
    <mergeCell ref="B55:J55"/>
    <mergeCell ref="B53:J53"/>
    <mergeCell ref="B52:J52"/>
    <mergeCell ref="B39:J39"/>
    <mergeCell ref="B48:J48"/>
    <mergeCell ref="B38:J38"/>
    <mergeCell ref="B40:J40"/>
    <mergeCell ref="B43:J43"/>
    <mergeCell ref="B58:J58"/>
    <mergeCell ref="B8:J8"/>
    <mergeCell ref="B22:J22"/>
    <mergeCell ref="B23:J23"/>
    <mergeCell ref="B33:J33"/>
    <mergeCell ref="B28:J28"/>
    <mergeCell ref="B30:J30"/>
    <mergeCell ref="B19:J19"/>
    <mergeCell ref="B21:J21"/>
    <mergeCell ref="B24:J24"/>
    <mergeCell ref="B321:J321"/>
    <mergeCell ref="B322:J322"/>
    <mergeCell ref="B29:J29"/>
    <mergeCell ref="B34:J34"/>
    <mergeCell ref="B36:J36"/>
    <mergeCell ref="B35:J35"/>
    <mergeCell ref="H275:I275"/>
    <mergeCell ref="B295:G295"/>
    <mergeCell ref="B296:G296"/>
    <mergeCell ref="B50:J50"/>
  </mergeCells>
  <printOptions/>
  <pageMargins left="0.55" right="0" top="0.5" bottom="0.5" header="0.25" footer="0.25"/>
  <pageSetup horizontalDpi="600" verticalDpi="600" orientation="portrait" paperSize="9" r:id="rId1"/>
  <headerFooter alignWithMargins="0">
    <oddFooter xml:space="preserve">&amp;L &amp;"VNI-Helve-Condense,Italic"&amp;10Caùc thuyeát minh naøy laø boä phaän hôïp thaønh baùo caùo taøi chính töø trang 1 ñeán trang 6&amp;R&amp;"VNI-Helve-Condense,Normal"&amp;10Trang &amp;P+6 </oddFooter>
  </headerFooter>
</worksheet>
</file>

<file path=xl/worksheets/sheet5.xml><?xml version="1.0" encoding="utf-8"?>
<worksheet xmlns="http://schemas.openxmlformats.org/spreadsheetml/2006/main" xmlns:r="http://schemas.openxmlformats.org/officeDocument/2006/relationships">
  <dimension ref="A1:D44"/>
  <sheetViews>
    <sheetView workbookViewId="0" topLeftCell="A11">
      <selection activeCell="B22" sqref="B22"/>
    </sheetView>
  </sheetViews>
  <sheetFormatPr defaultColWidth="8.796875" defaultRowHeight="14.25"/>
  <cols>
    <col min="1" max="1" width="7.69921875" style="0" customWidth="1"/>
    <col min="2" max="2" width="42.5" style="0" customWidth="1"/>
    <col min="3" max="3" width="21.8984375" style="0" customWidth="1"/>
    <col min="4" max="4" width="20.8984375" style="0" customWidth="1"/>
  </cols>
  <sheetData>
    <row r="1" ht="16.5">
      <c r="A1" s="768" t="s">
        <v>483</v>
      </c>
    </row>
    <row r="2" ht="16.5">
      <c r="A2" s="770"/>
    </row>
    <row r="3" spans="1:4" ht="27">
      <c r="A3" s="864" t="s">
        <v>484</v>
      </c>
      <c r="B3" s="864"/>
      <c r="C3" s="864"/>
      <c r="D3" s="864"/>
    </row>
    <row r="4" spans="1:4" ht="18.75" thickBot="1">
      <c r="A4" s="865" t="s">
        <v>543</v>
      </c>
      <c r="B4" s="865"/>
      <c r="C4" s="865"/>
      <c r="D4" s="865"/>
    </row>
    <row r="5" spans="1:4" ht="18.75" thickBot="1">
      <c r="A5" s="771" t="s">
        <v>485</v>
      </c>
      <c r="B5" s="772" t="s">
        <v>486</v>
      </c>
      <c r="C5" s="773" t="s">
        <v>478</v>
      </c>
      <c r="D5" s="774" t="s">
        <v>479</v>
      </c>
    </row>
    <row r="6" spans="1:4" ht="18">
      <c r="A6" s="775" t="s">
        <v>487</v>
      </c>
      <c r="B6" s="776" t="s">
        <v>488</v>
      </c>
      <c r="C6" s="777">
        <f>SUM(C7:C11)</f>
        <v>66354385010</v>
      </c>
      <c r="D6" s="778">
        <f>SUM(D7:D11)</f>
        <v>92393877698</v>
      </c>
    </row>
    <row r="7" spans="1:4" ht="17.25">
      <c r="A7" s="779">
        <v>1</v>
      </c>
      <c r="B7" s="780" t="s">
        <v>46</v>
      </c>
      <c r="C7" s="781">
        <v>4019235356</v>
      </c>
      <c r="D7" s="781">
        <v>3445048782</v>
      </c>
    </row>
    <row r="8" spans="1:4" ht="17.25">
      <c r="A8" s="779">
        <v>2</v>
      </c>
      <c r="B8" s="780" t="s">
        <v>489</v>
      </c>
      <c r="C8" s="781"/>
      <c r="D8" s="781"/>
    </row>
    <row r="9" spans="1:4" ht="17.25">
      <c r="A9" s="779">
        <v>3</v>
      </c>
      <c r="B9" s="780" t="s">
        <v>490</v>
      </c>
      <c r="C9" s="781">
        <v>38857890776</v>
      </c>
      <c r="D9" s="781">
        <v>64352443703</v>
      </c>
    </row>
    <row r="10" spans="1:4" ht="17.25">
      <c r="A10" s="779">
        <v>4</v>
      </c>
      <c r="B10" s="780" t="s">
        <v>491</v>
      </c>
      <c r="C10" s="781">
        <v>21020119602</v>
      </c>
      <c r="D10" s="781">
        <v>20402435227</v>
      </c>
    </row>
    <row r="11" spans="1:4" ht="17.25">
      <c r="A11" s="779">
        <v>5</v>
      </c>
      <c r="B11" s="780" t="s">
        <v>492</v>
      </c>
      <c r="C11" s="781">
        <v>2457139276</v>
      </c>
      <c r="D11" s="781">
        <v>4193949986</v>
      </c>
    </row>
    <row r="12" spans="1:4" ht="18">
      <c r="A12" s="782" t="s">
        <v>493</v>
      </c>
      <c r="B12" s="783" t="s">
        <v>494</v>
      </c>
      <c r="C12" s="784">
        <f>C13+C20+C19</f>
        <v>77705126683</v>
      </c>
      <c r="D12" s="784">
        <f>D13+D19+D20</f>
        <v>152984671485</v>
      </c>
    </row>
    <row r="13" spans="1:4" ht="17.25">
      <c r="A13" s="779">
        <v>1</v>
      </c>
      <c r="B13" s="780" t="s">
        <v>495</v>
      </c>
      <c r="C13" s="781">
        <f>SUM(C14:C17)</f>
        <v>75978275024</v>
      </c>
      <c r="D13" s="781">
        <f>SUM(D14:D17)</f>
        <v>151484803527</v>
      </c>
    </row>
    <row r="14" spans="1:4" ht="17.25">
      <c r="A14" s="779"/>
      <c r="B14" s="780" t="s">
        <v>496</v>
      </c>
      <c r="C14" s="781">
        <v>32842200973</v>
      </c>
      <c r="D14" s="781">
        <v>31760476792</v>
      </c>
    </row>
    <row r="15" spans="1:4" ht="17.25">
      <c r="A15" s="779"/>
      <c r="B15" s="780" t="s">
        <v>497</v>
      </c>
      <c r="C15" s="781"/>
      <c r="D15" s="781"/>
    </row>
    <row r="16" spans="1:4" ht="17.25">
      <c r="A16" s="779"/>
      <c r="B16" s="780" t="s">
        <v>498</v>
      </c>
      <c r="C16" s="781"/>
      <c r="D16" s="781"/>
    </row>
    <row r="17" spans="1:4" ht="17.25">
      <c r="A17" s="779"/>
      <c r="B17" s="780" t="s">
        <v>499</v>
      </c>
      <c r="C17" s="781">
        <v>43136074051</v>
      </c>
      <c r="D17" s="781">
        <v>119724326735</v>
      </c>
    </row>
    <row r="18" spans="1:4" ht="17.25">
      <c r="A18" s="779">
        <v>3</v>
      </c>
      <c r="B18" s="780" t="s">
        <v>500</v>
      </c>
      <c r="C18" s="781"/>
      <c r="D18" s="781"/>
    </row>
    <row r="19" spans="1:4" ht="17.25">
      <c r="A19" s="779">
        <v>4</v>
      </c>
      <c r="B19" s="780" t="s">
        <v>501</v>
      </c>
      <c r="C19" s="781">
        <v>67680000</v>
      </c>
      <c r="D19" s="781">
        <v>0</v>
      </c>
    </row>
    <row r="20" spans="1:4" ht="17.25">
      <c r="A20" s="779">
        <v>5</v>
      </c>
      <c r="B20" s="780" t="s">
        <v>502</v>
      </c>
      <c r="C20" s="781">
        <v>1659171659</v>
      </c>
      <c r="D20" s="781">
        <v>1499867958</v>
      </c>
    </row>
    <row r="21" spans="1:4" ht="18">
      <c r="A21" s="782" t="s">
        <v>503</v>
      </c>
      <c r="B21" s="785" t="s">
        <v>177</v>
      </c>
      <c r="C21" s="786">
        <f>C6+C12</f>
        <v>144059511693</v>
      </c>
      <c r="D21" s="784">
        <f>D6+D12</f>
        <v>245378549183</v>
      </c>
    </row>
    <row r="22" spans="1:4" ht="18">
      <c r="A22" s="782" t="s">
        <v>504</v>
      </c>
      <c r="B22" s="785" t="s">
        <v>505</v>
      </c>
      <c r="C22" s="786">
        <f>SUM(C23:C24)</f>
        <v>31628988657</v>
      </c>
      <c r="D22" s="784">
        <f>SUM(D23:D24)</f>
        <v>87968609932</v>
      </c>
    </row>
    <row r="23" spans="1:4" ht="17.25">
      <c r="A23" s="779">
        <v>1</v>
      </c>
      <c r="B23" s="780" t="s">
        <v>506</v>
      </c>
      <c r="C23" s="781">
        <v>22835624878</v>
      </c>
      <c r="D23" s="787">
        <v>40749513832</v>
      </c>
    </row>
    <row r="24" spans="1:4" ht="17.25">
      <c r="A24" s="779">
        <v>2</v>
      </c>
      <c r="B24" s="780" t="s">
        <v>507</v>
      </c>
      <c r="C24" s="781">
        <v>8793363779</v>
      </c>
      <c r="D24" s="787">
        <v>47219096100</v>
      </c>
    </row>
    <row r="25" spans="1:4" ht="18">
      <c r="A25" s="782" t="s">
        <v>508</v>
      </c>
      <c r="B25" s="785" t="s">
        <v>100</v>
      </c>
      <c r="C25" s="786">
        <f>C26+C36</f>
        <v>112430523036</v>
      </c>
      <c r="D25" s="786">
        <f>D26+D36</f>
        <v>157409939251</v>
      </c>
    </row>
    <row r="26" spans="1:4" ht="17.25">
      <c r="A26" s="779">
        <v>1</v>
      </c>
      <c r="B26" s="780" t="s">
        <v>100</v>
      </c>
      <c r="C26" s="781">
        <f>SUM(C27:C35)</f>
        <v>112824953036</v>
      </c>
      <c r="D26" s="787">
        <f>SUM(D27:D35)</f>
        <v>157842298751</v>
      </c>
    </row>
    <row r="27" spans="1:4" ht="17.25">
      <c r="A27" s="779"/>
      <c r="B27" s="780" t="s">
        <v>509</v>
      </c>
      <c r="C27" s="781">
        <v>54483550000</v>
      </c>
      <c r="D27" s="787">
        <v>84703500000</v>
      </c>
    </row>
    <row r="28" spans="1:4" ht="17.25">
      <c r="A28" s="779"/>
      <c r="B28" s="780" t="s">
        <v>510</v>
      </c>
      <c r="C28" s="781">
        <v>42096692432</v>
      </c>
      <c r="D28" s="787">
        <v>58558245765</v>
      </c>
    </row>
    <row r="29" spans="1:4" ht="17.25">
      <c r="A29" s="779"/>
      <c r="B29" s="780" t="s">
        <v>511</v>
      </c>
      <c r="C29" s="781"/>
      <c r="D29" s="787"/>
    </row>
    <row r="30" spans="1:4" ht="17.25">
      <c r="A30" s="779"/>
      <c r="B30" s="780" t="s">
        <v>512</v>
      </c>
      <c r="C30" s="781">
        <v>-8352000</v>
      </c>
      <c r="D30" s="787">
        <v>-8352000</v>
      </c>
    </row>
    <row r="31" spans="1:4" ht="17.25">
      <c r="A31" s="779"/>
      <c r="B31" s="780" t="s">
        <v>513</v>
      </c>
      <c r="C31" s="781"/>
      <c r="D31" s="787"/>
    </row>
    <row r="32" spans="1:4" ht="17.25">
      <c r="A32" s="779"/>
      <c r="B32" s="780" t="s">
        <v>514</v>
      </c>
      <c r="C32" s="781"/>
      <c r="D32" s="787"/>
    </row>
    <row r="33" spans="1:4" ht="17.25">
      <c r="A33" s="779" t="s">
        <v>515</v>
      </c>
      <c r="B33" s="780" t="s">
        <v>516</v>
      </c>
      <c r="C33" s="781">
        <f>5287848558+1695000000</f>
        <v>6982848558</v>
      </c>
      <c r="D33" s="787">
        <f>5487848558+2045000000</f>
        <v>7532848558</v>
      </c>
    </row>
    <row r="34" spans="1:4" ht="17.25">
      <c r="A34" s="779"/>
      <c r="B34" s="780" t="s">
        <v>517</v>
      </c>
      <c r="C34" s="781">
        <v>9270214046</v>
      </c>
      <c r="D34" s="787">
        <v>7056056428</v>
      </c>
    </row>
    <row r="35" spans="1:4" ht="17.25">
      <c r="A35" s="779"/>
      <c r="B35" s="780" t="s">
        <v>518</v>
      </c>
      <c r="C35" s="781"/>
      <c r="D35" s="787"/>
    </row>
    <row r="36" spans="1:4" ht="17.25">
      <c r="A36" s="779">
        <v>2</v>
      </c>
      <c r="B36" s="780" t="s">
        <v>519</v>
      </c>
      <c r="C36" s="781">
        <f>C37</f>
        <v>-394430000</v>
      </c>
      <c r="D36" s="787">
        <v>-432359500</v>
      </c>
    </row>
    <row r="37" spans="1:4" ht="17.25">
      <c r="A37" s="779"/>
      <c r="B37" s="780" t="s">
        <v>520</v>
      </c>
      <c r="C37" s="781">
        <v>-394430000</v>
      </c>
      <c r="D37" s="787">
        <v>-432359500</v>
      </c>
    </row>
    <row r="38" spans="1:4" ht="17.25">
      <c r="A38" s="779"/>
      <c r="B38" s="780" t="s">
        <v>521</v>
      </c>
      <c r="C38" s="781"/>
      <c r="D38" s="787"/>
    </row>
    <row r="39" spans="1:4" ht="17.25">
      <c r="A39" s="779"/>
      <c r="B39" s="780" t="s">
        <v>522</v>
      </c>
      <c r="C39" s="781"/>
      <c r="D39" s="787"/>
    </row>
    <row r="40" spans="1:4" ht="18.75" thickBot="1">
      <c r="A40" s="788" t="s">
        <v>523</v>
      </c>
      <c r="B40" s="789" t="s">
        <v>180</v>
      </c>
      <c r="C40" s="790">
        <f>C25+C22</f>
        <v>144059511693</v>
      </c>
      <c r="D40" s="791">
        <f>D25+D22</f>
        <v>245378549183</v>
      </c>
    </row>
    <row r="41" ht="16.5">
      <c r="A41" s="770"/>
    </row>
    <row r="42" ht="16.5">
      <c r="A42" s="770"/>
    </row>
    <row r="43" ht="16.5">
      <c r="A43" s="770"/>
    </row>
    <row r="44" ht="16.5">
      <c r="A44" s="770"/>
    </row>
  </sheetData>
  <mergeCells count="2">
    <mergeCell ref="A3:D3"/>
    <mergeCell ref="A4:D4"/>
  </mergeCells>
  <printOptions/>
  <pageMargins left="0.5" right="0.25" top="0.5" bottom="0.5" header="0.25" footer="0.2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F27"/>
  <sheetViews>
    <sheetView workbookViewId="0" topLeftCell="A1">
      <selection activeCell="B10" sqref="B10"/>
    </sheetView>
  </sheetViews>
  <sheetFormatPr defaultColWidth="8.796875" defaultRowHeight="14.25"/>
  <cols>
    <col min="1" max="1" width="4.19921875" style="770" customWidth="1"/>
    <col min="2" max="2" width="47.69921875" style="0" customWidth="1"/>
    <col min="3" max="3" width="18.59765625" style="0" customWidth="1"/>
    <col min="4" max="4" width="20.19921875" style="0" customWidth="1"/>
    <col min="5" max="5" width="0.1015625" style="0" customWidth="1"/>
    <col min="6" max="6" width="15.09765625" style="0" hidden="1" customWidth="1"/>
  </cols>
  <sheetData>
    <row r="2" spans="2:4" ht="31.5" customHeight="1">
      <c r="B2" s="866" t="s">
        <v>524</v>
      </c>
      <c r="C2" s="866"/>
      <c r="D2" s="866"/>
    </row>
    <row r="3" spans="1:4" ht="26.25" customHeight="1">
      <c r="A3" s="865" t="s">
        <v>543</v>
      </c>
      <c r="B3" s="865"/>
      <c r="C3" s="865"/>
      <c r="D3" s="865"/>
    </row>
    <row r="4" ht="17.25" thickBot="1"/>
    <row r="5" spans="1:4" s="796" customFormat="1" ht="19.5" thickBot="1" thickTop="1">
      <c r="A5" s="792" t="s">
        <v>485</v>
      </c>
      <c r="B5" s="793" t="s">
        <v>174</v>
      </c>
      <c r="C5" s="794" t="s">
        <v>549</v>
      </c>
      <c r="D5" s="795" t="s">
        <v>525</v>
      </c>
    </row>
    <row r="6" spans="1:6" s="801" customFormat="1" ht="18.75" thickTop="1">
      <c r="A6" s="797">
        <v>1</v>
      </c>
      <c r="B6" s="798" t="s">
        <v>526</v>
      </c>
      <c r="C6" s="799">
        <v>58864104337</v>
      </c>
      <c r="D6" s="799">
        <v>183434568698</v>
      </c>
      <c r="E6" s="800">
        <v>16481639251</v>
      </c>
      <c r="F6" s="799">
        <v>25555902115</v>
      </c>
    </row>
    <row r="7" spans="1:6" s="801" customFormat="1" ht="18">
      <c r="A7" s="802">
        <v>2</v>
      </c>
      <c r="B7" s="803" t="s">
        <v>340</v>
      </c>
      <c r="C7" s="804">
        <v>910301112</v>
      </c>
      <c r="D7" s="804">
        <v>2911804457</v>
      </c>
      <c r="E7" s="800" t="e">
        <f>SUM(#REF!)</f>
        <v>#REF!</v>
      </c>
      <c r="F7" s="804">
        <v>0</v>
      </c>
    </row>
    <row r="8" spans="1:6" s="801" customFormat="1" ht="18">
      <c r="A8" s="802">
        <v>3</v>
      </c>
      <c r="B8" s="803" t="s">
        <v>527</v>
      </c>
      <c r="C8" s="804">
        <f>C6-C7</f>
        <v>57953803225</v>
      </c>
      <c r="D8" s="804">
        <f>D6-D7</f>
        <v>180522764241</v>
      </c>
      <c r="E8" s="800">
        <v>16481639251</v>
      </c>
      <c r="F8" s="804">
        <v>25555902115</v>
      </c>
    </row>
    <row r="9" spans="1:6" s="801" customFormat="1" ht="18">
      <c r="A9" s="802">
        <v>4</v>
      </c>
      <c r="B9" s="803" t="s">
        <v>103</v>
      </c>
      <c r="C9" s="804">
        <v>50817211389</v>
      </c>
      <c r="D9" s="804">
        <v>155482544475</v>
      </c>
      <c r="E9" s="800">
        <v>14120675788</v>
      </c>
      <c r="F9" s="804">
        <v>22038682928</v>
      </c>
    </row>
    <row r="10" spans="1:6" s="801" customFormat="1" ht="18">
      <c r="A10" s="802">
        <v>5</v>
      </c>
      <c r="B10" s="803" t="s">
        <v>528</v>
      </c>
      <c r="C10" s="804">
        <f>C8-C9</f>
        <v>7136591836</v>
      </c>
      <c r="D10" s="804">
        <f>D8-D9</f>
        <v>25040219766</v>
      </c>
      <c r="E10" s="800">
        <f>E8-E9</f>
        <v>2360963463</v>
      </c>
      <c r="F10" s="804">
        <v>3517219187</v>
      </c>
    </row>
    <row r="11" spans="1:6" s="801" customFormat="1" ht="18">
      <c r="A11" s="802">
        <v>6</v>
      </c>
      <c r="B11" s="803" t="s">
        <v>529</v>
      </c>
      <c r="C11" s="804">
        <v>504547799</v>
      </c>
      <c r="D11" s="804">
        <v>2010102078</v>
      </c>
      <c r="E11" s="800">
        <v>44576273</v>
      </c>
      <c r="F11" s="804">
        <v>44789881</v>
      </c>
    </row>
    <row r="12" spans="1:6" s="801" customFormat="1" ht="18">
      <c r="A12" s="802">
        <v>7</v>
      </c>
      <c r="B12" s="803" t="s">
        <v>530</v>
      </c>
      <c r="C12" s="804">
        <v>1620478178</v>
      </c>
      <c r="D12" s="804">
        <v>3820923027</v>
      </c>
      <c r="E12" s="800">
        <v>32793285</v>
      </c>
      <c r="F12" s="804">
        <v>48467614</v>
      </c>
    </row>
    <row r="13" spans="1:6" s="801" customFormat="1" ht="18">
      <c r="A13" s="802">
        <v>8</v>
      </c>
      <c r="B13" s="803" t="s">
        <v>531</v>
      </c>
      <c r="C13" s="804">
        <v>2731811048</v>
      </c>
      <c r="D13" s="804">
        <v>9910251764</v>
      </c>
      <c r="E13" s="800">
        <v>1133188985</v>
      </c>
      <c r="F13" s="804">
        <v>1772407684.1799998</v>
      </c>
    </row>
    <row r="14" spans="1:6" s="801" customFormat="1" ht="18">
      <c r="A14" s="802">
        <v>9</v>
      </c>
      <c r="B14" s="803" t="s">
        <v>532</v>
      </c>
      <c r="C14" s="804">
        <v>1588616137</v>
      </c>
      <c r="D14" s="804">
        <v>4120916040</v>
      </c>
      <c r="E14" s="800">
        <v>472460746</v>
      </c>
      <c r="F14" s="804">
        <v>550956199.1666666</v>
      </c>
    </row>
    <row r="15" spans="1:6" s="801" customFormat="1" ht="18">
      <c r="A15" s="802">
        <v>10</v>
      </c>
      <c r="B15" s="803" t="s">
        <v>533</v>
      </c>
      <c r="C15" s="804">
        <f>C10+C11-C12-C13-C14</f>
        <v>1700234272</v>
      </c>
      <c r="D15" s="804">
        <f>D10+D11-D12-D13-D14</f>
        <v>9198231013</v>
      </c>
      <c r="E15" s="800"/>
      <c r="F15" s="804"/>
    </row>
    <row r="16" spans="1:6" s="801" customFormat="1" ht="18">
      <c r="A16" s="802">
        <v>11</v>
      </c>
      <c r="B16" s="803" t="s">
        <v>534</v>
      </c>
      <c r="C16" s="804">
        <v>549553342</v>
      </c>
      <c r="D16" s="804">
        <v>973599903</v>
      </c>
      <c r="E16" s="800"/>
      <c r="F16" s="805">
        <v>0</v>
      </c>
    </row>
    <row r="17" spans="1:6" s="801" customFormat="1" ht="18">
      <c r="A17" s="802">
        <v>12</v>
      </c>
      <c r="B17" s="803" t="s">
        <v>535</v>
      </c>
      <c r="C17" s="804">
        <v>750000</v>
      </c>
      <c r="D17" s="804">
        <v>8300162</v>
      </c>
      <c r="E17" s="800">
        <v>18548838</v>
      </c>
      <c r="F17" s="805">
        <v>20010293</v>
      </c>
    </row>
    <row r="18" spans="1:6" s="801" customFormat="1" ht="18">
      <c r="A18" s="802">
        <v>13</v>
      </c>
      <c r="B18" s="803" t="s">
        <v>536</v>
      </c>
      <c r="C18" s="804">
        <f>C16-C17</f>
        <v>548803342</v>
      </c>
      <c r="D18" s="804">
        <f>D16-D17</f>
        <v>965299741</v>
      </c>
      <c r="E18" s="800">
        <f>E16-E17</f>
        <v>-18548838</v>
      </c>
      <c r="F18" s="804">
        <v>-20010293</v>
      </c>
    </row>
    <row r="19" spans="1:6" s="801" customFormat="1" ht="18">
      <c r="A19" s="802">
        <v>14</v>
      </c>
      <c r="B19" s="803" t="s">
        <v>537</v>
      </c>
      <c r="C19" s="804">
        <f>C15+C18</f>
        <v>2249037614</v>
      </c>
      <c r="D19" s="804">
        <f>D15+D18</f>
        <v>10163530754</v>
      </c>
      <c r="E19" s="800" t="e">
        <f>#REF!+E18</f>
        <v>#REF!</v>
      </c>
      <c r="F19" s="804">
        <v>1170167277.6533334</v>
      </c>
    </row>
    <row r="20" spans="1:6" s="801" customFormat="1" ht="18">
      <c r="A20" s="802">
        <v>15</v>
      </c>
      <c r="B20" s="803" t="s">
        <v>538</v>
      </c>
      <c r="C20" s="804"/>
      <c r="D20" s="804">
        <v>132321368</v>
      </c>
      <c r="E20" s="800"/>
      <c r="F20" s="804"/>
    </row>
    <row r="21" spans="1:6" s="801" customFormat="1" ht="18">
      <c r="A21" s="802">
        <v>16</v>
      </c>
      <c r="B21" s="803" t="s">
        <v>539</v>
      </c>
      <c r="C21" s="804">
        <f>C19</f>
        <v>2249037614</v>
      </c>
      <c r="D21" s="804">
        <f>D19-D20</f>
        <v>10031209386</v>
      </c>
      <c r="E21" s="800"/>
      <c r="F21" s="805">
        <v>0</v>
      </c>
    </row>
    <row r="22" spans="1:6" s="801" customFormat="1" ht="18">
      <c r="A22" s="802">
        <v>17</v>
      </c>
      <c r="B22" s="803" t="s">
        <v>540</v>
      </c>
      <c r="C22" s="806">
        <f>C21/8470350</f>
        <v>265.5188527038434</v>
      </c>
      <c r="D22" s="806">
        <f>D21/8470350</f>
        <v>1184.2733046450264</v>
      </c>
      <c r="E22" s="800" t="e">
        <f>E19</f>
        <v>#REF!</v>
      </c>
      <c r="F22" s="804">
        <v>1170167277.6533334</v>
      </c>
    </row>
    <row r="23" spans="1:6" s="801" customFormat="1" ht="18.75" thickBot="1">
      <c r="A23" s="802">
        <v>18</v>
      </c>
      <c r="B23" s="807" t="s">
        <v>541</v>
      </c>
      <c r="C23" s="808">
        <v>500</v>
      </c>
      <c r="D23" s="808">
        <v>500</v>
      </c>
      <c r="E23" s="800"/>
      <c r="F23" s="809"/>
    </row>
    <row r="24" ht="17.25" thickTop="1">
      <c r="E24" s="760"/>
    </row>
    <row r="25" spans="2:5" ht="25.5" customHeight="1">
      <c r="B25" s="867" t="s">
        <v>542</v>
      </c>
      <c r="C25" s="868"/>
      <c r="D25" s="868"/>
      <c r="E25" s="760"/>
    </row>
    <row r="26" spans="2:5" ht="16.5">
      <c r="B26" s="810"/>
      <c r="E26" s="760"/>
    </row>
    <row r="27" spans="3:4" ht="18">
      <c r="C27" s="865" t="s">
        <v>357</v>
      </c>
      <c r="D27" s="865"/>
    </row>
  </sheetData>
  <mergeCells count="4">
    <mergeCell ref="B2:D2"/>
    <mergeCell ref="A3:D3"/>
    <mergeCell ref="B25:D25"/>
    <mergeCell ref="C27:D27"/>
  </mergeCells>
  <printOptions/>
  <pageMargins left="0.5" right="0" top="0.5" bottom="0.5" header="0.25" footer="0.2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41"/>
  <sheetViews>
    <sheetView workbookViewId="0" topLeftCell="A1">
      <selection activeCell="A30" sqref="A30"/>
    </sheetView>
  </sheetViews>
  <sheetFormatPr defaultColWidth="8.796875" defaultRowHeight="14.25"/>
  <cols>
    <col min="1" max="1" width="29.09765625" style="1" customWidth="1"/>
    <col min="2" max="2" width="1.203125" style="1" customWidth="1"/>
    <col min="3" max="3" width="31.19921875" style="1" customWidth="1"/>
    <col min="4" max="16384" width="8.8984375" style="1" customWidth="1"/>
  </cols>
  <sheetData>
    <row r="1" spans="1:3" ht="16.5">
      <c r="A1" s="2"/>
      <c r="C1" s="2"/>
    </row>
    <row r="2" ht="17.25" thickBot="1">
      <c r="A2" s="2"/>
    </row>
    <row r="3" spans="1:3" ht="17.25" thickBot="1">
      <c r="A3" s="2"/>
      <c r="C3" s="2"/>
    </row>
    <row r="4" spans="1:3" ht="16.5">
      <c r="A4" s="2"/>
      <c r="C4" s="2"/>
    </row>
    <row r="5" ht="16.5">
      <c r="C5" s="2"/>
    </row>
    <row r="6" ht="17.25" thickBot="1">
      <c r="C6" s="2"/>
    </row>
    <row r="7" spans="1:3" ht="16.5">
      <c r="A7" s="2"/>
      <c r="C7" s="2"/>
    </row>
    <row r="8" spans="1:3" ht="16.5">
      <c r="A8" s="2"/>
      <c r="C8" s="2"/>
    </row>
    <row r="9" spans="1:3" ht="16.5">
      <c r="A9" s="2"/>
      <c r="C9" s="2"/>
    </row>
    <row r="10" spans="1:3" ht="16.5">
      <c r="A10" s="2"/>
      <c r="C10" s="2"/>
    </row>
    <row r="11" spans="1:3" ht="17.25" thickBot="1">
      <c r="A11" s="2"/>
      <c r="C11" s="2"/>
    </row>
    <row r="12" ht="16.5">
      <c r="C12" s="2"/>
    </row>
    <row r="13" ht="17.25" thickBot="1">
      <c r="C13" s="2"/>
    </row>
    <row r="14" spans="1:3" ht="17.25" thickBot="1">
      <c r="A14" s="2"/>
      <c r="C14" s="2"/>
    </row>
    <row r="15" ht="16.5">
      <c r="A15" s="2"/>
    </row>
    <row r="16" ht="17.25" thickBot="1">
      <c r="A16" s="2"/>
    </row>
    <row r="17" spans="1:3" ht="17.25" thickBot="1">
      <c r="A17" s="2"/>
      <c r="C17" s="2"/>
    </row>
    <row r="18" ht="16.5">
      <c r="C18" s="2"/>
    </row>
    <row r="19" ht="16.5">
      <c r="C19" s="2"/>
    </row>
    <row r="20" spans="1:3" ht="16.5">
      <c r="A20" s="2"/>
      <c r="C20" s="2"/>
    </row>
    <row r="21" spans="1:3" ht="16.5">
      <c r="A21" s="2"/>
      <c r="C21" s="2"/>
    </row>
    <row r="22" spans="1:3" ht="16.5">
      <c r="A22" s="2"/>
      <c r="C22" s="2"/>
    </row>
    <row r="23" spans="1:3" ht="16.5">
      <c r="A23" s="2"/>
      <c r="C23" s="2"/>
    </row>
    <row r="24" ht="16.5">
      <c r="A24" s="2"/>
    </row>
    <row r="25" ht="16.5">
      <c r="A25" s="2"/>
    </row>
    <row r="26" spans="1:3" ht="17.25" thickBot="1">
      <c r="A26" s="2"/>
      <c r="C26" s="2"/>
    </row>
    <row r="27" spans="1:3" ht="16.5">
      <c r="A27" s="2"/>
      <c r="C27" s="2"/>
    </row>
    <row r="28" spans="1:3" ht="16.5">
      <c r="A28" s="2"/>
      <c r="C28" s="2"/>
    </row>
    <row r="29" spans="1:3" ht="16.5">
      <c r="A29" s="2"/>
      <c r="C29" s="2"/>
    </row>
    <row r="30" spans="1:3" ht="16.5">
      <c r="A30" s="2"/>
      <c r="C30" s="2"/>
    </row>
    <row r="31" spans="1:3" ht="16.5">
      <c r="A31" s="2"/>
      <c r="C31" s="2"/>
    </row>
    <row r="32" spans="1:3" ht="16.5">
      <c r="A32" s="2"/>
      <c r="C32" s="2"/>
    </row>
    <row r="33" spans="1:3" ht="16.5">
      <c r="A33" s="2"/>
      <c r="C33" s="2"/>
    </row>
    <row r="34" spans="1:3" ht="16.5">
      <c r="A34" s="2"/>
      <c r="C34" s="2"/>
    </row>
    <row r="35" spans="1:3" ht="16.5">
      <c r="A35" s="2"/>
      <c r="C35" s="2"/>
    </row>
    <row r="36" spans="1:3" ht="16.5">
      <c r="A36" s="2"/>
      <c r="C36" s="2"/>
    </row>
    <row r="37" ht="16.5">
      <c r="A37" s="2"/>
    </row>
    <row r="38" ht="16.5">
      <c r="A38" s="2"/>
    </row>
    <row r="39" spans="1:3" ht="16.5">
      <c r="A39" s="2"/>
      <c r="C39" s="2"/>
    </row>
    <row r="40" spans="1:3" ht="16.5">
      <c r="A40" s="2"/>
      <c r="C40" s="2"/>
    </row>
    <row r="41" spans="1:3" ht="16.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KIEM TOAN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OPEY A.</dc:creator>
  <cp:keywords/>
  <dc:description/>
  <cp:lastModifiedBy>Phan Vien III</cp:lastModifiedBy>
  <cp:lastPrinted>2009-01-20T04:41:33Z</cp:lastPrinted>
  <dcterms:created xsi:type="dcterms:W3CDTF">2001-02-06T09:24:36Z</dcterms:created>
  <dcterms:modified xsi:type="dcterms:W3CDTF">2009-01-22T03:47:31Z</dcterms:modified>
  <cp:category/>
  <cp:version/>
  <cp:contentType/>
  <cp:contentStatus/>
</cp:coreProperties>
</file>